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65" windowWidth="19425" windowHeight="6135" tabRatio="669" activeTab="0"/>
  </bookViews>
  <sheets>
    <sheet name="入力(文系・総合)" sheetId="1" r:id="rId1"/>
    <sheet name="入力(理工系，国際ほか)" sheetId="2" r:id="rId2"/>
    <sheet name="入力(専門科目)" sheetId="3" r:id="rId3"/>
    <sheet name="判定結果 " sheetId="4" r:id="rId4"/>
    <sheet name="入力不可1" sheetId="5" r:id="rId5"/>
    <sheet name="入力不可2" sheetId="6" r:id="rId6"/>
  </sheets>
  <externalReferences>
    <externalReference r:id="rId9"/>
  </externalReferences>
  <definedNames>
    <definedName name="_xlnm.Print_Area" localSheetId="5">'入力不可2'!#REF!</definedName>
  </definedNames>
  <calcPr fullCalcOnLoad="1"/>
</workbook>
</file>

<file path=xl/sharedStrings.xml><?xml version="1.0" encoding="utf-8"?>
<sst xmlns="http://schemas.openxmlformats.org/spreadsheetml/2006/main" count="637" uniqueCount="478">
  <si>
    <t>公共経済学</t>
  </si>
  <si>
    <t>国土計画特別講義第一</t>
  </si>
  <si>
    <t>材料と部材の力学</t>
  </si>
  <si>
    <t>水理学原理</t>
  </si>
  <si>
    <t>水理学第一</t>
  </si>
  <si>
    <t>水理学第二</t>
  </si>
  <si>
    <t>都市計画学</t>
  </si>
  <si>
    <t>土質基礎工学</t>
  </si>
  <si>
    <t>土質力学第一</t>
  </si>
  <si>
    <t>土質力学第二</t>
  </si>
  <si>
    <t>科目</t>
  </si>
  <si>
    <t>ﾌｨｰﾙﾄﾞﾜｰｸ</t>
  </si>
  <si>
    <t>空間ﾃﾞｻﾞｲﾝ</t>
  </si>
  <si>
    <t>6類特別講義第一</t>
  </si>
  <si>
    <t>6類特別講義第二</t>
  </si>
  <si>
    <t>ｺﾝｸﾘ-ﾄ工学</t>
  </si>
  <si>
    <t>ｺﾝｸﾘ-ﾄ構造</t>
  </si>
  <si>
    <t>構造</t>
  </si>
  <si>
    <t>水理</t>
  </si>
  <si>
    <t>土質</t>
  </si>
  <si>
    <t>材料</t>
  </si>
  <si>
    <t>計画</t>
  </si>
  <si>
    <t>学習教育目標</t>
  </si>
  <si>
    <t>（Ｃ）日本語</t>
  </si>
  <si>
    <t>区分</t>
  </si>
  <si>
    <t>選択科目</t>
  </si>
  <si>
    <t>理工系基礎科目</t>
  </si>
  <si>
    <t>数学、自然科学、情報技術の学習に関する科目別取得単位</t>
  </si>
  <si>
    <t>単位数</t>
  </si>
  <si>
    <t>合計</t>
  </si>
  <si>
    <t>点数</t>
  </si>
  <si>
    <t>科目名</t>
  </si>
  <si>
    <t>は、目標値に達していないことを示します。</t>
  </si>
  <si>
    <t>第1学期</t>
  </si>
  <si>
    <t>第2学期</t>
  </si>
  <si>
    <t>授業科目</t>
  </si>
  <si>
    <t>取得点数</t>
  </si>
  <si>
    <t>取得単位</t>
  </si>
  <si>
    <t>微分積分第1</t>
  </si>
  <si>
    <t>線形代数学第1</t>
  </si>
  <si>
    <t>微分積分学演習第1</t>
  </si>
  <si>
    <t>線形代数学演習第1</t>
  </si>
  <si>
    <t>物理学A</t>
  </si>
  <si>
    <t>物理学C</t>
  </si>
  <si>
    <t>化学実験第1</t>
  </si>
  <si>
    <t>基礎生物学A</t>
  </si>
  <si>
    <t>宇宙地球科学A</t>
  </si>
  <si>
    <t>微分積分学第2A</t>
  </si>
  <si>
    <t>微分積分学第2B</t>
  </si>
  <si>
    <t>線形代数学第2A</t>
  </si>
  <si>
    <t>線形代数学第2B</t>
  </si>
  <si>
    <t>微分積分学演習第2</t>
  </si>
  <si>
    <t>線形代数学演習第2</t>
  </si>
  <si>
    <t>物理学B</t>
  </si>
  <si>
    <t>化学第2</t>
  </si>
  <si>
    <t>化学第1</t>
  </si>
  <si>
    <t>化学実験第2</t>
  </si>
  <si>
    <t>基礎生物学B</t>
  </si>
  <si>
    <t>宇宙地球科学B</t>
  </si>
  <si>
    <t>ｺﾝﾋﾟｭｰﾀｻｲｴﾝｽ入門</t>
  </si>
  <si>
    <t>基礎物理学演習</t>
  </si>
  <si>
    <t>基礎物理学実験</t>
  </si>
  <si>
    <t>基礎生物学実験</t>
  </si>
  <si>
    <t>宇宙地球科学実験</t>
  </si>
  <si>
    <t>図学製図</t>
  </si>
  <si>
    <t>6類特別講義第一</t>
  </si>
  <si>
    <t>6類特別講義第二</t>
  </si>
  <si>
    <t>土木工学専門科目</t>
  </si>
  <si>
    <t>第3学期</t>
  </si>
  <si>
    <t>第4学期</t>
  </si>
  <si>
    <t>材料と部材の力学</t>
  </si>
  <si>
    <t>水理学原理</t>
  </si>
  <si>
    <t>土質力学第1</t>
  </si>
  <si>
    <t>構造力学第1</t>
  </si>
  <si>
    <t>水理学第1</t>
  </si>
  <si>
    <t>土質力学第2</t>
  </si>
  <si>
    <t>ｺﾝｸﾘｰﾄ工学</t>
  </si>
  <si>
    <t>測量学</t>
  </si>
  <si>
    <t>測量学実習</t>
  </si>
  <si>
    <t>空間ﾃﾞｻﾞｲﾝ</t>
  </si>
  <si>
    <t>第5学期</t>
  </si>
  <si>
    <t>構造力学第2</t>
  </si>
  <si>
    <t>水理学第2</t>
  </si>
  <si>
    <t>土質基礎工学</t>
  </si>
  <si>
    <t>ｺﾝｸﾘｰﾄ構造</t>
  </si>
  <si>
    <t>交通計画</t>
  </si>
  <si>
    <t>水環境計画</t>
  </si>
  <si>
    <t>公共経済学</t>
  </si>
  <si>
    <t>第6学期</t>
  </si>
  <si>
    <t>鋼構造の設計</t>
  </si>
  <si>
    <t>水文・河川工学</t>
  </si>
  <si>
    <t>都市計画学</t>
  </si>
  <si>
    <t>海岸・海洋工学</t>
  </si>
  <si>
    <t>第7学期</t>
  </si>
  <si>
    <t>学士論文研究c</t>
  </si>
  <si>
    <t>第8学期</t>
  </si>
  <si>
    <t>ﾌｨｰﾙﾄﾞﾜｰｸ</t>
  </si>
  <si>
    <t>理工系基礎科目16単位</t>
  </si>
  <si>
    <t>総修得単位数124単位以上</t>
  </si>
  <si>
    <t>卒業研究申請資格</t>
  </si>
  <si>
    <t>○</t>
  </si>
  <si>
    <t>◎</t>
  </si>
  <si>
    <t>専門科目総取得単位数</t>
  </si>
  <si>
    <t>◎印科目取得単位数</t>
  </si>
  <si>
    <t>○印科目取得単位数</t>
  </si>
  <si>
    <t>学士論文研究</t>
  </si>
  <si>
    <t>総取得単位数</t>
  </si>
  <si>
    <t>（Ａ）</t>
  </si>
  <si>
    <t>国際コミュニケーションⅠ</t>
  </si>
  <si>
    <t>国際コミュニケーションⅡ</t>
  </si>
  <si>
    <t>ドイツ語初級2</t>
  </si>
  <si>
    <t>ドイツ語初級1</t>
  </si>
  <si>
    <t>ドイツ語中級</t>
  </si>
  <si>
    <t>フランス語初級1</t>
  </si>
  <si>
    <t>フランス語初級2</t>
  </si>
  <si>
    <t>フランス語中級</t>
  </si>
  <si>
    <t>ロシア語初級1</t>
  </si>
  <si>
    <t>ロシア語初級2</t>
  </si>
  <si>
    <t>ロシア語中級</t>
  </si>
  <si>
    <t>中国語初級1</t>
  </si>
  <si>
    <t>中国語初級2</t>
  </si>
  <si>
    <t>中国語中級</t>
  </si>
  <si>
    <t>国際コミュニケーション上級</t>
  </si>
  <si>
    <t>言語文化演習(英語)AⅠ</t>
  </si>
  <si>
    <t>言語文化演習(英語)AⅡ</t>
  </si>
  <si>
    <t>言語文化演習(英語)BⅠ</t>
  </si>
  <si>
    <t>言語文化演習(英語)BⅡ</t>
  </si>
  <si>
    <t>英語ｾﾐﾅｰAⅠ</t>
  </si>
  <si>
    <t>英語ｾﾐﾅｰAⅡ</t>
  </si>
  <si>
    <t>英語ｾﾐﾅｰBⅠ</t>
  </si>
  <si>
    <t>英語ｾﾐﾅｰBⅡ</t>
  </si>
  <si>
    <t>英語口頭表現演習AⅠ</t>
  </si>
  <si>
    <t>英語口頭表現演習AⅡ</t>
  </si>
  <si>
    <t>英語口頭表現演習BⅠ</t>
  </si>
  <si>
    <t>英語口頭表現演習BⅡ</t>
  </si>
  <si>
    <t>ドイツ語ｾﾐﾅｰA1</t>
  </si>
  <si>
    <t>ドイツ語ｾﾐﾅｰA2</t>
  </si>
  <si>
    <t>ドイツ語ｾﾐﾅｰB1</t>
  </si>
  <si>
    <t>ドイツ語ｾﾐﾅｰB2</t>
  </si>
  <si>
    <t>ﾌﾗﾝｽ語ｾﾐﾅｰA1</t>
  </si>
  <si>
    <t>ﾌﾗﾝｽ語ｾﾐﾅｰA2</t>
  </si>
  <si>
    <t>ﾌﾗﾝｽ語ｾﾐﾅｰB1</t>
  </si>
  <si>
    <t>ﾌﾗﾝｽ語ｾﾐﾅｰB2</t>
  </si>
  <si>
    <t>ﾛｼｱ語ｾﾐﾅｰA1</t>
  </si>
  <si>
    <t>ﾛｼｱ語ｾﾐﾅｰA2</t>
  </si>
  <si>
    <t>ﾛｼｱ語ｾﾐﾅｰB1</t>
  </si>
  <si>
    <t>ﾛｼｱ語ｾﾐﾅｰB2</t>
  </si>
  <si>
    <t>中国語ｾﾐﾅｰA1</t>
  </si>
  <si>
    <t>中国語ｾﾐﾅｰA2</t>
  </si>
  <si>
    <t>中国語ｾﾐﾅｰB1</t>
  </si>
  <si>
    <t>中国語ｾﾐﾅｰB2</t>
  </si>
  <si>
    <t>健康・スポーツ科目</t>
  </si>
  <si>
    <t>健康科学</t>
  </si>
  <si>
    <t>スポーツ実習Ⅰ</t>
  </si>
  <si>
    <t>スポーツ実習Ⅱ</t>
  </si>
  <si>
    <t>健康・ｽﾎﾟｰﾂ科学</t>
  </si>
  <si>
    <t>ﾃﾆｽﾒﾝﾀﾙﾏﾈｼﾞﾒﾝﾄ実習</t>
  </si>
  <si>
    <t>ｱﾄﾞｳﾞｧﾝｽﾄ･ﾃﾆｽ</t>
  </si>
  <si>
    <t>情報科目</t>
  </si>
  <si>
    <t>ｺﾝﾋﾟｭｰﾀﾘﾃﾗｼ</t>
  </si>
  <si>
    <t>環境教育科目</t>
  </si>
  <si>
    <t>環境安全論</t>
  </si>
  <si>
    <t>健康・ｽﾎﾟｰﾂ科目</t>
  </si>
  <si>
    <t>ｺﾝﾋﾟｭｰﾀﾘﾃﾗｼ</t>
  </si>
  <si>
    <t>原則として6学期以上在籍していること。</t>
  </si>
  <si>
    <t>無印科目取得単位数</t>
  </si>
  <si>
    <t xml:space="preserve">  </t>
  </si>
  <si>
    <t>小計</t>
  </si>
  <si>
    <t>健康・スポーツ科目3単位以上 （健康科学1単位，スポーツ実習2単位を含む)</t>
  </si>
  <si>
    <t>必修小計</t>
  </si>
  <si>
    <t>選択小計</t>
  </si>
  <si>
    <t>全学科目</t>
  </si>
  <si>
    <t>○印の科目から29単位以上</t>
  </si>
  <si>
    <t>無印の科目から20単位以上</t>
  </si>
  <si>
    <t>文系基礎科目及び総合科目合計14単位以上</t>
  </si>
  <si>
    <t>国際コミュニケーション科目</t>
  </si>
  <si>
    <t>情報ネットワーク科目</t>
  </si>
  <si>
    <t>健康・スポーツ科目，情報科目，環境教育科目</t>
  </si>
  <si>
    <t>人間の知識表現と論理的言語</t>
  </si>
  <si>
    <t>グループ・リサーチ社会学</t>
  </si>
  <si>
    <t>意思決定理論の展開</t>
  </si>
  <si>
    <t>社会における科学</t>
  </si>
  <si>
    <t>現代科学技術と社会</t>
  </si>
  <si>
    <t>日常生活と法</t>
  </si>
  <si>
    <t>都市のシステム</t>
  </si>
  <si>
    <t>科学者とは何か</t>
  </si>
  <si>
    <t>パフォーマンス論</t>
  </si>
  <si>
    <t>技術発展と環境問題</t>
  </si>
  <si>
    <t>ゲーム理論入門</t>
  </si>
  <si>
    <t>システム知の探求</t>
  </si>
  <si>
    <t>文学を科学する</t>
  </si>
  <si>
    <t>現代科学・技術と安全性</t>
  </si>
  <si>
    <t>環境計画と社会システム</t>
  </si>
  <si>
    <t>日本政治を読む</t>
  </si>
  <si>
    <t>中国短期留学第一</t>
  </si>
  <si>
    <t>中国短期留学第二</t>
  </si>
  <si>
    <t>生命の科学と社会</t>
  </si>
  <si>
    <t>電気技術史と技術開発</t>
  </si>
  <si>
    <t>原子核とエネルギー</t>
  </si>
  <si>
    <t>先端科学技術と知的財産権</t>
  </si>
  <si>
    <t>上記にない授業科目は以下に記入</t>
  </si>
  <si>
    <t>国際コミュニケーション</t>
  </si>
  <si>
    <t>氏名</t>
  </si>
  <si>
    <t>学籍番号</t>
  </si>
  <si>
    <t>無印の科目から18単位以上</t>
  </si>
  <si>
    <t>学士論文研究判定</t>
  </si>
  <si>
    <t>主要4分野から各1科目以上</t>
  </si>
  <si>
    <t>交通計画</t>
  </si>
  <si>
    <t>材料と部材の力学</t>
  </si>
  <si>
    <t>構造力学第一</t>
  </si>
  <si>
    <t>構造力学第二</t>
  </si>
  <si>
    <t>鋼構造の設計</t>
  </si>
  <si>
    <t>(F)</t>
  </si>
  <si>
    <t>(参考)</t>
  </si>
  <si>
    <t>学習教育目標 達成度判定結果</t>
  </si>
  <si>
    <t>名前を入力</t>
  </si>
  <si>
    <t>科学技術者実践英語</t>
  </si>
  <si>
    <t>選必</t>
  </si>
  <si>
    <t>選必</t>
  </si>
  <si>
    <t>必修</t>
  </si>
  <si>
    <t>(A)</t>
  </si>
  <si>
    <t>(B)</t>
  </si>
  <si>
    <t>(D)</t>
  </si>
  <si>
    <t>(E)</t>
  </si>
  <si>
    <t>(H)</t>
  </si>
  <si>
    <t>（I)</t>
  </si>
  <si>
    <r>
      <t xml:space="preserve">(C)-1
</t>
    </r>
    <r>
      <rPr>
        <sz val="7"/>
        <rFont val="ＭＳ Ｐゴシック"/>
        <family val="3"/>
      </rPr>
      <t>日本語</t>
    </r>
  </si>
  <si>
    <t>文系基礎科目及び総合科目合計18単位以上</t>
  </si>
  <si>
    <t>修得単位数：</t>
  </si>
  <si>
    <t>学士論文研究</t>
  </si>
  <si>
    <t>国際コミュニケーション科目14単位以上</t>
  </si>
  <si>
    <r>
      <t xml:space="preserve">(C)-2
</t>
    </r>
    <r>
      <rPr>
        <sz val="6"/>
        <rFont val="ＭＳ Ｐゴシック"/>
        <family val="3"/>
      </rPr>
      <t>英語</t>
    </r>
  </si>
  <si>
    <t>水理</t>
  </si>
  <si>
    <t>学士論文研究</t>
  </si>
  <si>
    <t>修得科目数:</t>
  </si>
  <si>
    <t xml:space="preserve"> 修得科目数:</t>
  </si>
  <si>
    <t>学習教育目標達成度の確認</t>
  </si>
  <si>
    <t>生涯ｽﾎﾟｰﾂ実習II</t>
  </si>
  <si>
    <t>生涯ｽﾎﾟｰﾂ実習I</t>
  </si>
  <si>
    <t>文系&amp;総合 計(18単位以上)</t>
  </si>
  <si>
    <t>理工系基礎科目(16単位)</t>
  </si>
  <si>
    <t>健康スポーツ(3単位以上，5単位まで)</t>
  </si>
  <si>
    <t>情報，環境科目</t>
  </si>
  <si>
    <t>学士論文研究a(早期卒業用)</t>
  </si>
  <si>
    <t>学士論文研究b(早期卒業用)</t>
  </si>
  <si>
    <t>学士論文研究：
合格の場合には60点を入力する．
学士論文研究a,bは早期卒業生用で，
通常の卒業の場合は学士論文研究cに
入力する．</t>
  </si>
  <si>
    <t>健康科学，スポーツ実習(3単位)</t>
  </si>
  <si>
    <t>その他(2単位まで)</t>
  </si>
  <si>
    <t>×</t>
  </si>
  <si>
    <t>合計修得単位数：</t>
  </si>
  <si>
    <t>分野別修得科目数</t>
  </si>
  <si>
    <t>総修得単位数：</t>
  </si>
  <si>
    <t>(D) 分野別取得科目数</t>
  </si>
  <si>
    <t>総科目数</t>
  </si>
  <si>
    <t>総科目数(構造)</t>
  </si>
  <si>
    <t>総科目数(水理)</t>
  </si>
  <si>
    <t>総科目数(土質)</t>
  </si>
  <si>
    <t>総科目数(材料)</t>
  </si>
  <si>
    <t>総科目数(計画)</t>
  </si>
  <si>
    <t>修得分野数</t>
  </si>
  <si>
    <t>は、科目数</t>
  </si>
  <si>
    <t>は、単位数</t>
  </si>
  <si>
    <t>その他の卒業要件</t>
  </si>
  <si>
    <t>専門科目</t>
  </si>
  <si>
    <t>（F）</t>
  </si>
  <si>
    <t>（G）</t>
  </si>
  <si>
    <t>修得単位数</t>
  </si>
  <si>
    <t>○印の科目から26単位以上</t>
  </si>
  <si>
    <t>上記以外の理工系基礎</t>
  </si>
  <si>
    <t>取得単位数</t>
  </si>
  <si>
    <t>水理学</t>
  </si>
  <si>
    <t>時間数</t>
  </si>
  <si>
    <t>22.5時間/2単位</t>
  </si>
  <si>
    <t>3時間</t>
  </si>
  <si>
    <t>総単位数</t>
  </si>
  <si>
    <t>合計時間</t>
  </si>
  <si>
    <t>数学、自然科学、情報技術に関わる学習時間</t>
  </si>
  <si>
    <t>確認用総計</t>
  </si>
  <si>
    <t>○</t>
  </si>
  <si>
    <t>意思決定の基本ロジック</t>
  </si>
  <si>
    <t>現代社会への視点</t>
  </si>
  <si>
    <t>物理と論理</t>
  </si>
  <si>
    <t>ｱｶﾃﾞﾐｯｸﾘｰﾃﾞｨﾝｸﾞAⅠ</t>
  </si>
  <si>
    <t>ｱｶﾃﾞﾐｯｸﾘｰﾃﾞｨﾝｸﾞAⅡ</t>
  </si>
  <si>
    <t>ｱｶﾃﾞﾐｯｸﾘｰﾃﾞｨﾝｸﾞBⅠ</t>
  </si>
  <si>
    <t>ｱｶﾃﾞﾐｯｸﾘｰﾃﾞｨﾝｸBⅡ</t>
  </si>
  <si>
    <t>ｱｶﾃﾞﾐｯｸﾗｲﾃﾞｨﾝｸﾞBⅠ</t>
  </si>
  <si>
    <t>ｱｶﾃﾞﾐｯｸﾗｲﾃﾞｨﾝｸﾞBⅡ</t>
  </si>
  <si>
    <t>Civil Engineering English 1</t>
  </si>
  <si>
    <t>Civil Engineering English 2</t>
  </si>
  <si>
    <t>工業数学第一・演習</t>
  </si>
  <si>
    <t>環境計画演習</t>
  </si>
  <si>
    <t>工業数学第二・演習</t>
  </si>
  <si>
    <t>ｲﾝﾌﾗｽﾄﾗｸﾁｬｰの計画と設計</t>
  </si>
  <si>
    <t>コンクリート工学実験</t>
  </si>
  <si>
    <t>地盤工学実験</t>
  </si>
  <si>
    <t>構造力学実験</t>
  </si>
  <si>
    <t>水理学実験</t>
  </si>
  <si>
    <t>◎印の科目から8単位以上</t>
  </si>
  <si>
    <t>総合科目</t>
  </si>
  <si>
    <t>文系基礎科目</t>
  </si>
  <si>
    <t>文系導入科目</t>
  </si>
  <si>
    <t>文系基礎科目</t>
  </si>
  <si>
    <t>文系発展科目</t>
  </si>
  <si>
    <t>論語を読む</t>
  </si>
  <si>
    <t>世界文学入門Ⅰ</t>
  </si>
  <si>
    <t>経済学入門</t>
  </si>
  <si>
    <t xml:space="preserve">アートとミュージアム </t>
  </si>
  <si>
    <t>文学への招待</t>
  </si>
  <si>
    <t>世界文学入門Ⅱ</t>
  </si>
  <si>
    <t>交渉で学ぶ政治学入門</t>
  </si>
  <si>
    <t>風景学入門</t>
  </si>
  <si>
    <t>心の科学の思考法</t>
  </si>
  <si>
    <t>社会のモデル解析入門</t>
  </si>
  <si>
    <t>コラムランド</t>
  </si>
  <si>
    <t>倫理学</t>
  </si>
  <si>
    <t>哲学</t>
  </si>
  <si>
    <t>論理学第一</t>
  </si>
  <si>
    <t>論理学第二</t>
  </si>
  <si>
    <t>西洋近現代思想史</t>
  </si>
  <si>
    <t>日本思想史</t>
  </si>
  <si>
    <t>近代文学</t>
  </si>
  <si>
    <t>古典文学</t>
  </si>
  <si>
    <t>国語</t>
  </si>
  <si>
    <t>日本文学</t>
  </si>
  <si>
    <t>コラムキングダム</t>
  </si>
  <si>
    <t>社会言語学</t>
  </si>
  <si>
    <t>情報社会とコミュニケーション</t>
  </si>
  <si>
    <t>理論言語学</t>
  </si>
  <si>
    <t>音楽文化論 第一</t>
  </si>
  <si>
    <t>音楽文化論 第二</t>
  </si>
  <si>
    <t>日本文化論</t>
  </si>
  <si>
    <t>オペラへの招待</t>
  </si>
  <si>
    <t>デザイン論</t>
  </si>
  <si>
    <t>美術史・美術理論</t>
  </si>
  <si>
    <t>歴史学</t>
  </si>
  <si>
    <t>歴史表現論</t>
  </si>
  <si>
    <t>現代史</t>
  </si>
  <si>
    <t>メディア心理学</t>
  </si>
  <si>
    <t>心理学</t>
  </si>
  <si>
    <t>認知科学</t>
  </si>
  <si>
    <t>応用心理学</t>
  </si>
  <si>
    <t>人格心理学</t>
  </si>
  <si>
    <t>文化人類学</t>
  </si>
  <si>
    <t>文化社会論</t>
  </si>
  <si>
    <t>憲法</t>
  </si>
  <si>
    <t>法学</t>
  </si>
  <si>
    <t>民事法</t>
  </si>
  <si>
    <t>国際関係論 第一</t>
  </si>
  <si>
    <t>国際関係論 第二</t>
  </si>
  <si>
    <t>政治学 第一</t>
  </si>
  <si>
    <t>政治学 第二</t>
  </si>
  <si>
    <t>ミクロ経済学</t>
  </si>
  <si>
    <t>マクロ経済学</t>
  </si>
  <si>
    <t>経済学 第一</t>
  </si>
  <si>
    <t>経済学 第二</t>
  </si>
  <si>
    <t>社会学基礎</t>
  </si>
  <si>
    <t>社会学応用</t>
  </si>
  <si>
    <t>宗教社会学</t>
  </si>
  <si>
    <t>理論社会学</t>
  </si>
  <si>
    <t>社会学概論</t>
  </si>
  <si>
    <t>医療社会学</t>
  </si>
  <si>
    <t>数理社会学 第一</t>
  </si>
  <si>
    <t>数理社会学 第二</t>
  </si>
  <si>
    <t>科学概論 第一</t>
  </si>
  <si>
    <t>科学概論 第二</t>
  </si>
  <si>
    <t>現代技術史</t>
  </si>
  <si>
    <t>技術史 第一</t>
  </si>
  <si>
    <t>技術史 第二</t>
  </si>
  <si>
    <t>日本技術史</t>
  </si>
  <si>
    <t>科学方法論</t>
  </si>
  <si>
    <t>科学史 第一</t>
  </si>
  <si>
    <t>科学史 第二</t>
  </si>
  <si>
    <t>科学技術と政策第一</t>
  </si>
  <si>
    <t>科学技術と政策第二</t>
  </si>
  <si>
    <t>科学の社会史</t>
  </si>
  <si>
    <t>日本科学史</t>
  </si>
  <si>
    <t>生命倫理学</t>
  </si>
  <si>
    <t>科学技術者倫理</t>
  </si>
  <si>
    <t>環境・社会論</t>
  </si>
  <si>
    <t>社会の理工学そして芸術</t>
  </si>
  <si>
    <t>統計学基礎</t>
  </si>
  <si>
    <t>統計分析入門</t>
  </si>
  <si>
    <t>交渉の科学</t>
  </si>
  <si>
    <t>社会ネットワーク理論</t>
  </si>
  <si>
    <t>社会的合意形成の技法</t>
  </si>
  <si>
    <t>Topics on JapanⅡ（英語による日本事情Ⅱ）</t>
  </si>
  <si>
    <t>短編小説を読む</t>
  </si>
  <si>
    <t>Topics on JapanⅠ（英語による日本事情Ⅰ）</t>
  </si>
  <si>
    <t>大江戸講</t>
  </si>
  <si>
    <t>科学・技術・社会</t>
  </si>
  <si>
    <t>現代の音楽とテクノロジー</t>
  </si>
  <si>
    <t>文系ゼミ</t>
  </si>
  <si>
    <t>文系ゼミ</t>
  </si>
  <si>
    <t>文系ゼミ(第一～第六)</t>
  </si>
  <si>
    <t>科学技術コミュニケーション入門</t>
  </si>
  <si>
    <t>まなざしの日本史</t>
  </si>
  <si>
    <t>技術経営入門</t>
  </si>
  <si>
    <t>キーワードはO R</t>
  </si>
  <si>
    <t>システムとしての社会</t>
  </si>
  <si>
    <t>総合科目</t>
  </si>
  <si>
    <t>文系発展科目</t>
  </si>
  <si>
    <t>文系発展科目 &amp; 総合科目</t>
  </si>
  <si>
    <t>文系導入科目</t>
  </si>
  <si>
    <t>図学・図形科学第1</t>
  </si>
  <si>
    <t>図学・図形デザイン第1</t>
  </si>
  <si>
    <t>図学・図形科学第2</t>
  </si>
  <si>
    <t>図学・図形デザイン第2</t>
  </si>
  <si>
    <t>文系ゼミ以外の文系科目12単位以上</t>
  </si>
  <si>
    <t>文系科目</t>
  </si>
  <si>
    <t>英語1</t>
  </si>
  <si>
    <t>英語2</t>
  </si>
  <si>
    <t>英語3</t>
  </si>
  <si>
    <t>英語4</t>
  </si>
  <si>
    <t>英語5</t>
  </si>
  <si>
    <t>英語6</t>
  </si>
  <si>
    <t>英語7</t>
  </si>
  <si>
    <t>英語5-7</t>
  </si>
  <si>
    <t>国際コミュニケーションI</t>
  </si>
  <si>
    <t>国際コミュニケーションII</t>
  </si>
  <si>
    <t>I:10+II:4</t>
  </si>
  <si>
    <t>英語5-7の内いずれか</t>
  </si>
  <si>
    <t>ドイツ語応用I</t>
  </si>
  <si>
    <t>ドイツ語応用II</t>
  </si>
  <si>
    <t>ﾌﾗﾝｽ語応用I</t>
  </si>
  <si>
    <t>ﾌﾗﾝｽ語応用II</t>
  </si>
  <si>
    <t>ﾛｼｱ語応用I</t>
  </si>
  <si>
    <t>ﾛｼｱ語応用II</t>
  </si>
  <si>
    <t>中国語応用I</t>
  </si>
  <si>
    <t>中国語応用II</t>
  </si>
  <si>
    <t>国際コミュニケーション科目12単位( I:8+II:4あるいはI:6+II:6, Iの内英語5-7は除く）</t>
  </si>
  <si>
    <t>数値解析基礎・演習</t>
  </si>
  <si>
    <t>土木計画の理論と数理</t>
  </si>
  <si>
    <t>工学と環境I</t>
  </si>
  <si>
    <t>工学と環境II</t>
  </si>
  <si>
    <t>土木・環境工学ｺﾛｷｳﾑ</t>
  </si>
  <si>
    <t>国土計画特別講義</t>
  </si>
  <si>
    <t>土木・環境工学特別演習</t>
  </si>
  <si>
    <t>土木史・土木技術者倫理</t>
  </si>
  <si>
    <t>地震工学</t>
  </si>
  <si>
    <t>応用数値解析・演習</t>
  </si>
  <si>
    <t>土木計画の理論と数理</t>
  </si>
  <si>
    <t>数値解析基礎･演習</t>
  </si>
  <si>
    <t>6類特別講義第一</t>
  </si>
  <si>
    <t>土木・環境工学ｺﾛｷｳﾑ</t>
  </si>
  <si>
    <t>土木計画の理論と数理</t>
  </si>
  <si>
    <t>環境</t>
  </si>
  <si>
    <t>工学と環境 I</t>
  </si>
  <si>
    <t>総科目数(環境)</t>
  </si>
  <si>
    <t>6類特別講義第一, 6類特別講義第二, 土木・環境工学コロキウム, フィールドワークから1科目以上</t>
  </si>
  <si>
    <t xml:space="preserve">科学技術者実践英語あるいはそれと同等以上の英語力 </t>
  </si>
  <si>
    <t>工業数学第一・演習，数値解析基礎・演習，工業数学第二・演習，空間デザイン，応用数値解析・演習から1科目以上</t>
  </si>
  <si>
    <t>6類特別講義第一, 6類特別講義第二, 土木計画の理論と数理，土木・環境工学コロキウム, 国土計画特別講義から1科目以上</t>
  </si>
  <si>
    <t>工業数学第一・演習及び第二，
土木数値解析・演習,応用数値解析・演習</t>
  </si>
  <si>
    <t>環境ジレンマ論</t>
  </si>
  <si>
    <t>環境アセスメント論</t>
  </si>
  <si>
    <t>地盤調査・施工学</t>
  </si>
  <si>
    <t>その他の○印科目</t>
  </si>
  <si>
    <t>その他の無印科目</t>
  </si>
  <si>
    <t>その他</t>
  </si>
  <si>
    <t>上記に記載のない科目は，左のその他の科目欄に科目名，取得点数，単位数を記入する．</t>
  </si>
  <si>
    <t>または I:8+II:6</t>
  </si>
  <si>
    <t>07?????</t>
  </si>
  <si>
    <t>(G)</t>
  </si>
  <si>
    <t>国際コミュニケーション(I+II:最大14単位)</t>
  </si>
  <si>
    <t>科学技術者実践英語と同等</t>
  </si>
  <si>
    <t>科学技術者実践英語と同等 ：
単位を取得していなくても同等以上の英語力があると学科によって認められた場合には60点を入力する．</t>
  </si>
  <si>
    <t>工業数学第一・演習,同第二・演習，材料と部材の力学，水理学原理，都市計画学，公共経済学，土木計画の理論と数理，数値解析基礎･演習から1科目以上</t>
  </si>
  <si>
    <t>←単位数には加算されない</t>
  </si>
  <si>
    <t>関連総合科目計</t>
  </si>
  <si>
    <t>材料と部材の力学</t>
  </si>
  <si>
    <t>生命の科学と社会</t>
  </si>
  <si>
    <t>原子核とエネルギー</t>
  </si>
  <si>
    <t>物理と論理</t>
  </si>
  <si>
    <t>コンピュータリテラシー</t>
  </si>
  <si>
    <t>コンピュータリテラシー</t>
  </si>
  <si>
    <t>総合科目(生命の科学と社会，原子核とエネルギー，物理と論理)</t>
  </si>
  <si>
    <t>10時間/2単位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</si>
</sst>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0_ "/>
  </numFmts>
  <fonts count="20">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b/>
      <sz val="11"/>
      <color indexed="10"/>
      <name val="ＭＳ Ｐゴシック"/>
      <family val="3"/>
    </font>
    <font>
      <sz val="10"/>
      <name val="ＭＳ 明朝"/>
      <family val="1"/>
    </font>
    <font>
      <sz val="8"/>
      <name val="ＭＳ Ｐゴシック"/>
      <family val="3"/>
    </font>
    <font>
      <sz val="9"/>
      <name val="ＭＳ Ｐゴシック"/>
      <family val="3"/>
    </font>
    <font>
      <sz val="7"/>
      <name val="ＭＳ Ｐゴシック"/>
      <family val="3"/>
    </font>
    <font>
      <sz val="10"/>
      <name val="ＭＳ ゴシック"/>
      <family val="3"/>
    </font>
    <font>
      <sz val="11"/>
      <name val="ＭＳ ゴシック"/>
      <family val="3"/>
    </font>
    <font>
      <b/>
      <sz val="8"/>
      <name val="ＭＳ Ｐゴシック"/>
      <family val="3"/>
    </font>
    <font>
      <sz val="8"/>
      <name val="ＭＳ ゴシック"/>
      <family val="3"/>
    </font>
    <font>
      <sz val="5.5"/>
      <name val="ＭＳ Ｐゴシック"/>
      <family val="3"/>
    </font>
    <font>
      <sz val="6.5"/>
      <name val="ＭＳ Ｐゴシック"/>
      <family val="3"/>
    </font>
    <font>
      <b/>
      <sz val="11"/>
      <name val="ＭＳ Ｐゴシック"/>
      <family val="3"/>
    </font>
    <font>
      <b/>
      <sz val="10"/>
      <color indexed="10"/>
      <name val="ＭＳ Ｐゴシック"/>
      <family val="3"/>
    </font>
  </fonts>
  <fills count="8">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89">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style="double"/>
      <bottom style="double"/>
    </border>
    <border>
      <left style="double"/>
      <right style="thin"/>
      <top style="thin"/>
      <bottom style="thin"/>
    </border>
    <border>
      <left style="double"/>
      <right style="thin"/>
      <top style="double"/>
      <bottom style="thin"/>
    </border>
    <border>
      <left>
        <color indexed="63"/>
      </left>
      <right style="double"/>
      <top>
        <color indexed="63"/>
      </top>
      <bottom style="double"/>
    </border>
    <border>
      <left>
        <color indexed="63"/>
      </left>
      <right style="double"/>
      <top style="double"/>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double"/>
      <top style="thin"/>
      <bottom style="double"/>
    </border>
    <border>
      <left>
        <color indexed="63"/>
      </left>
      <right style="double"/>
      <top style="double"/>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style="thin"/>
      <bottom style="thin"/>
    </border>
    <border>
      <left style="thin"/>
      <right style="medium"/>
      <top>
        <color indexed="63"/>
      </top>
      <bottom style="thin"/>
    </border>
    <border>
      <left>
        <color indexed="63"/>
      </left>
      <right>
        <color indexed="63"/>
      </right>
      <top style="double"/>
      <bottom>
        <color indexed="63"/>
      </bottom>
    </border>
    <border>
      <left style="thin"/>
      <right style="medium"/>
      <top>
        <color indexed="63"/>
      </top>
      <bottom>
        <color indexed="63"/>
      </bottom>
    </border>
    <border>
      <left style="medium"/>
      <right style="thin"/>
      <top style="medium"/>
      <bottom style="thin"/>
    </border>
    <border>
      <left>
        <color indexed="63"/>
      </left>
      <right style="medium"/>
      <top style="medium"/>
      <bottom style="thin"/>
    </border>
    <border>
      <left>
        <color indexed="63"/>
      </left>
      <right style="double"/>
      <top style="double"/>
      <bottom>
        <color indexed="63"/>
      </bottom>
    </border>
    <border>
      <left>
        <color indexed="63"/>
      </left>
      <right style="thin"/>
      <top style="double"/>
      <bottom style="thin"/>
    </border>
    <border>
      <left style="thin"/>
      <right style="thin"/>
      <top style="double"/>
      <bottom style="thin"/>
    </border>
    <border>
      <left>
        <color indexed="63"/>
      </left>
      <right style="double"/>
      <top>
        <color indexed="63"/>
      </top>
      <bottom style="thin"/>
    </border>
    <border>
      <left style="double"/>
      <right>
        <color indexed="63"/>
      </right>
      <top style="double"/>
      <bottom style="double"/>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color indexed="63"/>
      </right>
      <top style="double"/>
      <bottom style="thin"/>
    </border>
    <border>
      <left style="thin"/>
      <right>
        <color indexed="63"/>
      </right>
      <top style="thin"/>
      <bottom style="double"/>
    </border>
    <border>
      <left style="thin"/>
      <right>
        <color indexed="63"/>
      </right>
      <top>
        <color indexed="63"/>
      </top>
      <bottom style="double"/>
    </border>
    <border>
      <left style="thin"/>
      <right>
        <color indexed="63"/>
      </right>
      <top style="double"/>
      <bottom style="double"/>
    </border>
    <border>
      <left style="double"/>
      <right style="thin"/>
      <top>
        <color indexed="63"/>
      </top>
      <bottom style="double"/>
    </border>
    <border>
      <left style="double"/>
      <right>
        <color indexed="63"/>
      </right>
      <top>
        <color indexed="63"/>
      </top>
      <bottom>
        <color indexed="63"/>
      </bottom>
    </border>
    <border>
      <left style="double"/>
      <right style="thin"/>
      <top>
        <color indexed="63"/>
      </top>
      <bottom>
        <color indexed="63"/>
      </bottom>
    </border>
    <border>
      <left style="double"/>
      <right style="thin"/>
      <top style="double"/>
      <bottom>
        <color indexed="63"/>
      </bottom>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color indexed="63"/>
      </bottom>
    </border>
    <border>
      <left style="double"/>
      <right>
        <color indexed="63"/>
      </right>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thin"/>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double"/>
      <top>
        <color indexed="63"/>
      </top>
      <bottom>
        <color indexed="63"/>
      </bottom>
    </border>
    <border>
      <left style="thin"/>
      <right style="medium"/>
      <top style="double"/>
      <bottom style="thin"/>
    </border>
    <border>
      <left style="medium"/>
      <right style="thin"/>
      <top style="double"/>
      <bottom style="thin"/>
    </border>
    <border>
      <left style="double"/>
      <right>
        <color indexed="63"/>
      </right>
      <top style="double"/>
      <bottom>
        <color indexed="63"/>
      </bottom>
    </border>
    <border>
      <left style="double"/>
      <right>
        <color indexed="63"/>
      </right>
      <top>
        <color indexed="63"/>
      </top>
      <bottom style="double"/>
    </border>
    <border>
      <left style="thin"/>
      <right style="thin"/>
      <top>
        <color indexed="63"/>
      </top>
      <bottom style="thin"/>
    </border>
    <border>
      <left>
        <color indexed="63"/>
      </left>
      <right style="thick"/>
      <top style="thin"/>
      <bottom style="thick"/>
    </border>
    <border>
      <left style="thin"/>
      <right style="thick"/>
      <top style="thin"/>
      <bottom style="thin"/>
    </border>
    <border>
      <left style="thin"/>
      <right style="double"/>
      <top>
        <color indexed="63"/>
      </top>
      <bottom style="double"/>
    </border>
    <border>
      <left style="thin"/>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style="medium"/>
      <right style="medium"/>
      <top style="medium"/>
      <bottom style="medium"/>
    </border>
    <border>
      <left style="thin"/>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72">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6" fillId="0" borderId="0" xfId="0" applyFont="1" applyAlignment="1">
      <alignment/>
    </xf>
    <xf numFmtId="0" fontId="2" fillId="0" borderId="0" xfId="0" applyFont="1" applyFill="1" applyBorder="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6" fillId="0" borderId="6"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6" xfId="0" applyFont="1" applyBorder="1" applyAlignment="1">
      <alignment vertical="center" wrapText="1"/>
    </xf>
    <xf numFmtId="0" fontId="5" fillId="0" borderId="12" xfId="0" applyFont="1" applyBorder="1" applyAlignment="1">
      <alignment/>
    </xf>
    <xf numFmtId="0" fontId="5" fillId="0" borderId="13" xfId="0" applyFont="1" applyBorder="1" applyAlignment="1">
      <alignment/>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Alignment="1">
      <alignment vertical="center" wrapText="1"/>
    </xf>
    <xf numFmtId="0" fontId="6"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2" borderId="17" xfId="0" applyFont="1" applyFill="1" applyBorder="1" applyAlignment="1">
      <alignment/>
    </xf>
    <xf numFmtId="0" fontId="5" fillId="2" borderId="18" xfId="0" applyFont="1" applyFill="1" applyBorder="1" applyAlignment="1">
      <alignment/>
    </xf>
    <xf numFmtId="0" fontId="5" fillId="2" borderId="19" xfId="0" applyFont="1" applyFill="1" applyBorder="1" applyAlignment="1">
      <alignment/>
    </xf>
    <xf numFmtId="0" fontId="5" fillId="0" borderId="20" xfId="0" applyFont="1" applyBorder="1" applyAlignment="1">
      <alignment/>
    </xf>
    <xf numFmtId="0" fontId="8" fillId="0" borderId="0" xfId="0" applyFont="1" applyAlignment="1">
      <alignment horizontal="left"/>
    </xf>
    <xf numFmtId="0" fontId="7" fillId="0" borderId="6" xfId="0" applyFont="1" applyBorder="1" applyAlignment="1">
      <alignment horizontal="right"/>
    </xf>
    <xf numFmtId="0" fontId="0" fillId="0" borderId="0" xfId="0" applyBorder="1" applyAlignment="1">
      <alignment/>
    </xf>
    <xf numFmtId="0" fontId="5" fillId="0" borderId="0" xfId="0" applyFont="1" applyFill="1" applyBorder="1" applyAlignment="1">
      <alignment/>
    </xf>
    <xf numFmtId="0" fontId="0" fillId="0" borderId="0" xfId="0" applyFill="1" applyBorder="1" applyAlignment="1">
      <alignment/>
    </xf>
    <xf numFmtId="0" fontId="2" fillId="0" borderId="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7" fillId="0" borderId="24" xfId="0" applyFont="1" applyBorder="1" applyAlignment="1">
      <alignment horizontal="right"/>
    </xf>
    <xf numFmtId="0" fontId="9" fillId="0" borderId="21" xfId="0" applyFont="1" applyBorder="1" applyAlignment="1">
      <alignment/>
    </xf>
    <xf numFmtId="0" fontId="9" fillId="0" borderId="21" xfId="0" applyFont="1" applyFill="1" applyBorder="1" applyAlignment="1">
      <alignment/>
    </xf>
    <xf numFmtId="0" fontId="9" fillId="0" borderId="22" xfId="0" applyFont="1" applyBorder="1" applyAlignment="1">
      <alignment horizontal="left" indent="1"/>
    </xf>
    <xf numFmtId="0" fontId="9" fillId="0" borderId="21" xfId="0" applyFont="1" applyBorder="1" applyAlignment="1">
      <alignment horizontal="left" indent="1"/>
    </xf>
    <xf numFmtId="0" fontId="10" fillId="0" borderId="0" xfId="0" applyFont="1" applyAlignment="1">
      <alignment/>
    </xf>
    <xf numFmtId="0" fontId="2" fillId="0" borderId="0" xfId="0" applyFont="1" applyBorder="1" applyAlignment="1">
      <alignment horizontal="center"/>
    </xf>
    <xf numFmtId="0" fontId="7" fillId="0" borderId="25" xfId="0" applyFont="1" applyBorder="1" applyAlignment="1">
      <alignment horizontal="right"/>
    </xf>
    <xf numFmtId="0" fontId="9" fillId="0" borderId="22" xfId="0" applyFont="1" applyBorder="1" applyAlignment="1">
      <alignment/>
    </xf>
    <xf numFmtId="0" fontId="9" fillId="0" borderId="22" xfId="0" applyFont="1" applyFill="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2" fillId="3" borderId="0" xfId="0" applyFont="1" applyFill="1" applyAlignment="1">
      <alignment horizontal="left"/>
    </xf>
    <xf numFmtId="0" fontId="0" fillId="3" borderId="0" xfId="0" applyFill="1" applyAlignment="1">
      <alignment/>
    </xf>
    <xf numFmtId="0" fontId="5" fillId="0" borderId="0" xfId="0" applyFont="1" applyAlignment="1" applyProtection="1">
      <alignment/>
      <protection/>
    </xf>
    <xf numFmtId="0" fontId="6" fillId="3" borderId="0" xfId="0" applyFont="1" applyFill="1" applyAlignment="1" applyProtection="1">
      <alignment horizontal="right"/>
      <protection/>
    </xf>
    <xf numFmtId="0" fontId="5" fillId="0" borderId="0" xfId="0" applyFont="1" applyAlignment="1" applyProtection="1">
      <alignment/>
      <protection/>
    </xf>
    <xf numFmtId="0" fontId="0" fillId="3" borderId="0" xfId="0" applyFill="1" applyAlignment="1" applyProtection="1">
      <alignment horizontal="right"/>
      <protection/>
    </xf>
    <xf numFmtId="0" fontId="6" fillId="0" borderId="0" xfId="0" applyFont="1" applyAlignment="1" applyProtection="1">
      <alignment/>
      <protection/>
    </xf>
    <xf numFmtId="0" fontId="6" fillId="3" borderId="0" xfId="0" applyFont="1" applyFill="1" applyAlignment="1" applyProtection="1">
      <alignment/>
      <protection/>
    </xf>
    <xf numFmtId="0" fontId="6" fillId="3" borderId="32" xfId="0" applyFont="1" applyFill="1" applyBorder="1" applyAlignment="1" applyProtection="1">
      <alignment/>
      <protection/>
    </xf>
    <xf numFmtId="0" fontId="5" fillId="0" borderId="33" xfId="0" applyFont="1" applyBorder="1" applyAlignment="1" applyProtection="1">
      <alignment/>
      <protection/>
    </xf>
    <xf numFmtId="0" fontId="5" fillId="0" borderId="5" xfId="0" applyFont="1" applyBorder="1" applyAlignment="1" applyProtection="1">
      <alignment horizontal="center"/>
      <protection/>
    </xf>
    <xf numFmtId="0" fontId="5" fillId="0" borderId="34"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35" xfId="0" applyFont="1" applyBorder="1" applyAlignment="1" applyProtection="1">
      <alignment/>
      <protection/>
    </xf>
    <xf numFmtId="0" fontId="5" fillId="0" borderId="3"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3" borderId="36" xfId="0" applyFont="1" applyFill="1" applyBorder="1" applyAlignment="1" applyProtection="1">
      <alignment/>
      <protection/>
    </xf>
    <xf numFmtId="0" fontId="5" fillId="3" borderId="0" xfId="0" applyFont="1" applyFill="1" applyAlignment="1" applyProtection="1">
      <alignment/>
      <protection/>
    </xf>
    <xf numFmtId="0" fontId="5" fillId="3" borderId="37" xfId="0" applyFont="1" applyFill="1" applyBorder="1" applyAlignment="1" applyProtection="1">
      <alignment/>
      <protection/>
    </xf>
    <xf numFmtId="0" fontId="5" fillId="2" borderId="8" xfId="0" applyFont="1" applyFill="1" applyBorder="1" applyAlignment="1" applyProtection="1">
      <alignment/>
      <protection locked="0"/>
    </xf>
    <xf numFmtId="0" fontId="5" fillId="2" borderId="13" xfId="0" applyFont="1" applyFill="1" applyBorder="1" applyAlignment="1" applyProtection="1">
      <alignment/>
      <protection locked="0"/>
    </xf>
    <xf numFmtId="0" fontId="5" fillId="2" borderId="6" xfId="0" applyFont="1" applyFill="1" applyBorder="1" applyAlignment="1" applyProtection="1">
      <alignment/>
      <protection locked="0"/>
    </xf>
    <xf numFmtId="0" fontId="5" fillId="2" borderId="11" xfId="0" applyFont="1" applyFill="1" applyBorder="1" applyAlignment="1" applyProtection="1">
      <alignment/>
      <protection locked="0"/>
    </xf>
    <xf numFmtId="0" fontId="5" fillId="2" borderId="7" xfId="0" applyFont="1" applyFill="1" applyBorder="1" applyAlignment="1" applyProtection="1">
      <alignment/>
      <protection locked="0"/>
    </xf>
    <xf numFmtId="14" fontId="0" fillId="0" borderId="0" xfId="0" applyNumberFormat="1" applyAlignment="1">
      <alignment/>
    </xf>
    <xf numFmtId="0" fontId="2" fillId="2" borderId="6" xfId="0" applyFont="1" applyFill="1" applyBorder="1" applyAlignment="1" applyProtection="1">
      <alignment/>
      <protection locked="0"/>
    </xf>
    <xf numFmtId="0" fontId="9" fillId="0" borderId="0" xfId="0" applyFont="1" applyAlignment="1">
      <alignment/>
    </xf>
    <xf numFmtId="0" fontId="9" fillId="3" borderId="0" xfId="0" applyFont="1" applyFill="1" applyAlignment="1">
      <alignment/>
    </xf>
    <xf numFmtId="0" fontId="9" fillId="0" borderId="29" xfId="0" applyFont="1" applyBorder="1" applyAlignment="1">
      <alignment horizontal="left" vertical="center"/>
    </xf>
    <xf numFmtId="0" fontId="9" fillId="0" borderId="22" xfId="0" applyFont="1" applyBorder="1" applyAlignment="1">
      <alignment horizontal="left" vertical="center"/>
    </xf>
    <xf numFmtId="0" fontId="0" fillId="2" borderId="0" xfId="0" applyFill="1" applyAlignment="1">
      <alignment/>
    </xf>
    <xf numFmtId="0" fontId="9" fillId="0" borderId="29" xfId="0" applyFont="1" applyBorder="1" applyAlignment="1">
      <alignment horizontal="right" vertical="center"/>
    </xf>
    <xf numFmtId="0" fontId="0" fillId="0" borderId="29" xfId="0" applyBorder="1" applyAlignment="1">
      <alignment vertical="center"/>
    </xf>
    <xf numFmtId="0" fontId="9" fillId="0" borderId="22" xfId="0" applyFont="1" applyBorder="1" applyAlignment="1">
      <alignment horizontal="right" vertical="center"/>
    </xf>
    <xf numFmtId="0" fontId="9" fillId="0" borderId="22" xfId="0" applyFont="1" applyBorder="1" applyAlignment="1">
      <alignment vertical="center"/>
    </xf>
    <xf numFmtId="0" fontId="0" fillId="0" borderId="22" xfId="0" applyBorder="1" applyAlignment="1">
      <alignment vertical="center"/>
    </xf>
    <xf numFmtId="0" fontId="2" fillId="0" borderId="29" xfId="0" applyFont="1" applyBorder="1" applyAlignment="1">
      <alignment vertical="center"/>
    </xf>
    <xf numFmtId="0" fontId="11" fillId="0" borderId="29" xfId="0" applyFont="1" applyBorder="1" applyAlignment="1">
      <alignment horizontal="left" vertical="center"/>
    </xf>
    <xf numFmtId="0" fontId="9" fillId="0" borderId="23" xfId="0" applyFont="1" applyBorder="1" applyAlignment="1">
      <alignment horizontal="left" vertical="center"/>
    </xf>
    <xf numFmtId="0" fontId="0" fillId="0" borderId="23" xfId="0" applyBorder="1" applyAlignment="1">
      <alignment vertical="center"/>
    </xf>
    <xf numFmtId="0" fontId="9" fillId="0" borderId="21" xfId="0" applyFont="1" applyFill="1" applyBorder="1" applyAlignment="1">
      <alignment horizontal="right" vertical="center"/>
    </xf>
    <xf numFmtId="0" fontId="0" fillId="0" borderId="22" xfId="0" applyFill="1" applyBorder="1" applyAlignment="1">
      <alignment vertical="center"/>
    </xf>
    <xf numFmtId="0" fontId="9" fillId="0" borderId="23" xfId="0" applyFont="1" applyBorder="1" applyAlignment="1">
      <alignment horizontal="right" vertical="center"/>
    </xf>
    <xf numFmtId="0" fontId="9" fillId="0" borderId="38" xfId="0" applyFont="1" applyBorder="1" applyAlignment="1">
      <alignment horizontal="right" vertical="center"/>
    </xf>
    <xf numFmtId="0" fontId="6" fillId="3"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3" borderId="39" xfId="0" applyFont="1" applyFill="1" applyBorder="1" applyAlignment="1" applyProtection="1">
      <alignment/>
      <protection/>
    </xf>
    <xf numFmtId="0" fontId="5" fillId="2" borderId="40" xfId="0" applyFont="1" applyFill="1" applyBorder="1" applyAlignment="1" applyProtection="1">
      <alignment/>
      <protection locked="0"/>
    </xf>
    <xf numFmtId="0" fontId="5" fillId="2" borderId="12" xfId="0" applyFont="1" applyFill="1" applyBorder="1" applyAlignment="1" applyProtection="1">
      <alignment/>
      <protection locked="0"/>
    </xf>
    <xf numFmtId="0" fontId="5" fillId="2" borderId="9" xfId="0" applyFont="1" applyFill="1" applyBorder="1" applyAlignment="1" applyProtection="1">
      <alignment/>
      <protection locked="0"/>
    </xf>
    <xf numFmtId="0" fontId="5" fillId="0" borderId="33" xfId="0" applyFont="1" applyBorder="1" applyAlignment="1" applyProtection="1">
      <alignment horizontal="center"/>
      <protection/>
    </xf>
    <xf numFmtId="49" fontId="0" fillId="3" borderId="0" xfId="0" applyNumberFormat="1" applyFill="1" applyBorder="1" applyAlignment="1" applyProtection="1">
      <alignment/>
      <protection/>
    </xf>
    <xf numFmtId="49" fontId="18" fillId="3" borderId="0" xfId="0" applyNumberFormat="1" applyFont="1" applyFill="1" applyBorder="1" applyAlignment="1" applyProtection="1">
      <alignment/>
      <protection/>
    </xf>
    <xf numFmtId="0" fontId="18" fillId="3" borderId="0" xfId="0" applyFont="1" applyFill="1" applyAlignment="1" applyProtection="1">
      <alignment/>
      <protection/>
    </xf>
    <xf numFmtId="0" fontId="5" fillId="2" borderId="0" xfId="0" applyFont="1" applyFill="1" applyAlignment="1">
      <alignment/>
    </xf>
    <xf numFmtId="0" fontId="5" fillId="2" borderId="0" xfId="0" applyFont="1" applyFill="1" applyBorder="1" applyAlignment="1">
      <alignment/>
    </xf>
    <xf numFmtId="0" fontId="5" fillId="2" borderId="2" xfId="0" applyFont="1" applyFill="1" applyBorder="1" applyAlignment="1">
      <alignment/>
    </xf>
    <xf numFmtId="0" fontId="5" fillId="2" borderId="1" xfId="0" applyFont="1" applyFill="1" applyBorder="1" applyAlignment="1">
      <alignment/>
    </xf>
    <xf numFmtId="0" fontId="7" fillId="2" borderId="6" xfId="0" applyFont="1" applyFill="1" applyBorder="1" applyAlignment="1">
      <alignment horizontal="right"/>
    </xf>
    <xf numFmtId="0" fontId="5" fillId="0" borderId="41" xfId="0" applyFont="1" applyBorder="1" applyAlignment="1">
      <alignment horizontal="center"/>
    </xf>
    <xf numFmtId="0" fontId="7" fillId="4" borderId="6" xfId="0" applyFont="1" applyFill="1" applyBorder="1" applyAlignment="1">
      <alignment/>
    </xf>
    <xf numFmtId="0" fontId="5" fillId="0" borderId="18" xfId="0" applyFont="1" applyBorder="1" applyAlignment="1">
      <alignment/>
    </xf>
    <xf numFmtId="0" fontId="9" fillId="0" borderId="0" xfId="0" applyFont="1" applyFill="1" applyBorder="1" applyAlignment="1">
      <alignment/>
    </xf>
    <xf numFmtId="0" fontId="2" fillId="0" borderId="0" xfId="0" applyFont="1" applyFill="1" applyBorder="1" applyAlignment="1">
      <alignment horizontal="right"/>
    </xf>
    <xf numFmtId="0" fontId="7" fillId="0" borderId="0" xfId="0" applyFont="1" applyFill="1" applyBorder="1" applyAlignment="1">
      <alignment horizontal="right"/>
    </xf>
    <xf numFmtId="0" fontId="14" fillId="0" borderId="0" xfId="0" applyFont="1" applyFill="1" applyBorder="1" applyAlignment="1">
      <alignment horizontal="right"/>
    </xf>
    <xf numFmtId="0" fontId="9" fillId="0" borderId="28" xfId="0" applyFont="1" applyBorder="1" applyAlignment="1">
      <alignment horizontal="right" vertical="center"/>
    </xf>
    <xf numFmtId="0" fontId="9" fillId="0" borderId="2" xfId="0" applyFont="1" applyBorder="1" applyAlignment="1">
      <alignment horizontal="left" vertical="center"/>
    </xf>
    <xf numFmtId="0" fontId="9" fillId="0" borderId="2" xfId="0" applyFont="1" applyBorder="1" applyAlignment="1">
      <alignment horizontal="right" vertical="center"/>
    </xf>
    <xf numFmtId="0" fontId="9" fillId="0" borderId="38" xfId="0" applyFont="1" applyBorder="1" applyAlignment="1">
      <alignment horizontal="left" vertical="center"/>
    </xf>
    <xf numFmtId="0" fontId="0" fillId="0" borderId="38" xfId="0" applyBorder="1" applyAlignment="1">
      <alignment vertical="center"/>
    </xf>
    <xf numFmtId="0" fontId="9" fillId="0" borderId="38" xfId="0" applyFont="1" applyFill="1" applyBorder="1" applyAlignment="1">
      <alignment horizontal="right" vertical="center"/>
    </xf>
    <xf numFmtId="0" fontId="9" fillId="0" borderId="38" xfId="0" applyFont="1" applyBorder="1" applyAlignment="1">
      <alignment vertical="center"/>
    </xf>
    <xf numFmtId="0" fontId="0" fillId="0" borderId="38" xfId="0" applyBorder="1" applyAlignment="1">
      <alignment/>
    </xf>
    <xf numFmtId="0" fontId="0" fillId="0" borderId="42" xfId="0" applyBorder="1" applyAlignment="1">
      <alignment/>
    </xf>
    <xf numFmtId="0" fontId="0" fillId="0" borderId="28" xfId="0" applyBorder="1" applyAlignment="1">
      <alignment vertical="center"/>
    </xf>
    <xf numFmtId="0" fontId="9" fillId="0" borderId="22" xfId="0" applyFont="1" applyFill="1" applyBorder="1" applyAlignment="1">
      <alignment horizontal="right" vertical="center"/>
    </xf>
    <xf numFmtId="0" fontId="10" fillId="2" borderId="43" xfId="0" applyFont="1" applyFill="1" applyBorder="1" applyAlignment="1">
      <alignment horizontal="center" vertical="center"/>
    </xf>
    <xf numFmtId="0" fontId="9" fillId="0" borderId="21" xfId="0" applyFont="1" applyFill="1" applyBorder="1" applyAlignment="1">
      <alignment vertical="center"/>
    </xf>
    <xf numFmtId="0" fontId="10" fillId="2" borderId="21" xfId="0" applyFont="1" applyFill="1" applyBorder="1" applyAlignment="1">
      <alignment horizontal="center"/>
    </xf>
    <xf numFmtId="0" fontId="9" fillId="0" borderId="28" xfId="0" applyFont="1" applyBorder="1" applyAlignment="1">
      <alignment horizontal="left" vertical="center"/>
    </xf>
    <xf numFmtId="0" fontId="9" fillId="0" borderId="44" xfId="0" applyFont="1" applyBorder="1" applyAlignment="1">
      <alignment horizontal="right" vertical="center"/>
    </xf>
    <xf numFmtId="0" fontId="10" fillId="2" borderId="22" xfId="0" applyFont="1" applyFill="1" applyBorder="1" applyAlignment="1">
      <alignment horizontal="center" vertical="center"/>
    </xf>
    <xf numFmtId="0" fontId="0" fillId="0" borderId="2" xfId="0" applyBorder="1" applyAlignment="1">
      <alignment vertical="center"/>
    </xf>
    <xf numFmtId="0" fontId="9" fillId="0" borderId="28" xfId="0" applyFont="1" applyFill="1" applyBorder="1" applyAlignment="1">
      <alignment horizontal="left" vertical="center"/>
    </xf>
    <xf numFmtId="0" fontId="0" fillId="0" borderId="2" xfId="0" applyBorder="1" applyAlignment="1">
      <alignment/>
    </xf>
    <xf numFmtId="0" fontId="0" fillId="0" borderId="45" xfId="0" applyBorder="1" applyAlignment="1">
      <alignment/>
    </xf>
    <xf numFmtId="0" fontId="10" fillId="0" borderId="46" xfId="0" applyFont="1" applyBorder="1" applyAlignment="1">
      <alignment horizontal="center" vertical="center"/>
    </xf>
    <xf numFmtId="0" fontId="9" fillId="0" borderId="47" xfId="0" applyFont="1" applyBorder="1" applyAlignment="1">
      <alignment horizontal="right" vertical="center"/>
    </xf>
    <xf numFmtId="0" fontId="9" fillId="0" borderId="6" xfId="0" applyFont="1" applyBorder="1" applyAlignment="1">
      <alignment horizontal="right" vertical="center"/>
    </xf>
    <xf numFmtId="0" fontId="9" fillId="0" borderId="48" xfId="0" applyFont="1" applyBorder="1" applyAlignment="1">
      <alignment horizontal="right" vertical="center"/>
    </xf>
    <xf numFmtId="0" fontId="9" fillId="0" borderId="49" xfId="0" applyFont="1" applyBorder="1" applyAlignment="1">
      <alignment horizontal="right" vertical="center"/>
    </xf>
    <xf numFmtId="0" fontId="9" fillId="0" borderId="50" xfId="0" applyFont="1" applyBorder="1" applyAlignment="1">
      <alignment horizontal="right" vertical="center"/>
    </xf>
    <xf numFmtId="0" fontId="0" fillId="5" borderId="0" xfId="0" applyFill="1" applyAlignment="1">
      <alignment/>
    </xf>
    <xf numFmtId="0" fontId="10" fillId="5" borderId="29" xfId="0" applyFont="1" applyFill="1" applyBorder="1" applyAlignment="1">
      <alignment horizontal="center" vertical="center"/>
    </xf>
    <xf numFmtId="0" fontId="9" fillId="5" borderId="28" xfId="0" applyFont="1" applyFill="1" applyBorder="1" applyAlignment="1">
      <alignment vertical="center"/>
    </xf>
    <xf numFmtId="0" fontId="9" fillId="5" borderId="38" xfId="0" applyFont="1" applyFill="1" applyBorder="1" applyAlignment="1">
      <alignment vertical="center"/>
    </xf>
    <xf numFmtId="0" fontId="0" fillId="3" borderId="0" xfId="0" applyFont="1" applyFill="1" applyAlignment="1">
      <alignment horizontal="left"/>
    </xf>
    <xf numFmtId="0" fontId="0" fillId="3" borderId="0" xfId="0" applyFont="1" applyFill="1" applyAlignment="1">
      <alignment/>
    </xf>
    <xf numFmtId="0" fontId="2" fillId="3" borderId="0" xfId="0" applyFont="1" applyFill="1" applyAlignment="1">
      <alignment horizontal="left" indent="1"/>
    </xf>
    <xf numFmtId="0" fontId="9" fillId="0" borderId="38" xfId="0" applyFont="1" applyBorder="1" applyAlignment="1">
      <alignment horizontal="left" indent="1"/>
    </xf>
    <xf numFmtId="0" fontId="9" fillId="0" borderId="38" xfId="0" applyFont="1" applyBorder="1" applyAlignment="1">
      <alignment/>
    </xf>
    <xf numFmtId="0" fontId="9" fillId="0" borderId="28" xfId="0" applyFont="1" applyBorder="1" applyAlignment="1">
      <alignment horizontal="left" indent="1"/>
    </xf>
    <xf numFmtId="0" fontId="0" fillId="0" borderId="28" xfId="0" applyBorder="1" applyAlignment="1">
      <alignment horizontal="left" indent="1"/>
    </xf>
    <xf numFmtId="0" fontId="9" fillId="0" borderId="28" xfId="0" applyFont="1" applyBorder="1" applyAlignment="1">
      <alignment/>
    </xf>
    <xf numFmtId="0" fontId="9" fillId="0" borderId="28" xfId="0" applyFont="1" applyFill="1" applyBorder="1" applyAlignment="1">
      <alignment horizontal="right"/>
    </xf>
    <xf numFmtId="0" fontId="2" fillId="2" borderId="28" xfId="0" applyFont="1" applyFill="1" applyBorder="1" applyAlignment="1">
      <alignment/>
    </xf>
    <xf numFmtId="0" fontId="19" fillId="0" borderId="51" xfId="0" applyFont="1" applyBorder="1" applyAlignment="1">
      <alignment horizontal="center" vertical="center"/>
    </xf>
    <xf numFmtId="0" fontId="19" fillId="0" borderId="16"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22" xfId="0" applyFont="1" applyBorder="1" applyAlignment="1">
      <alignment horizontal="center" vertical="center"/>
    </xf>
    <xf numFmtId="0" fontId="19" fillId="0" borderId="22"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8" xfId="0" applyFont="1" applyBorder="1" applyAlignment="1">
      <alignment horizontal="center" vertical="center"/>
    </xf>
    <xf numFmtId="0" fontId="19" fillId="0" borderId="2" xfId="0" applyFont="1" applyBorder="1" applyAlignment="1">
      <alignment horizontal="center" vertical="center"/>
    </xf>
    <xf numFmtId="0" fontId="19" fillId="0" borderId="23" xfId="0" applyFont="1" applyBorder="1" applyAlignment="1">
      <alignment horizontal="center" vertical="center"/>
    </xf>
    <xf numFmtId="0" fontId="19" fillId="0" borderId="28"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5" xfId="0" applyFont="1" applyBorder="1" applyAlignment="1">
      <alignment horizontal="right"/>
    </xf>
    <xf numFmtId="0" fontId="19" fillId="0" borderId="55" xfId="0" applyFont="1" applyBorder="1" applyAlignment="1">
      <alignment horizontal="right"/>
    </xf>
    <xf numFmtId="0" fontId="9" fillId="0" borderId="27" xfId="0" applyFont="1" applyBorder="1" applyAlignment="1">
      <alignment/>
    </xf>
    <xf numFmtId="0" fontId="9" fillId="0" borderId="56" xfId="0" applyFont="1" applyBorder="1" applyAlignment="1">
      <alignment/>
    </xf>
    <xf numFmtId="0" fontId="9" fillId="0" borderId="0" xfId="0" applyFont="1" applyBorder="1" applyAlignment="1">
      <alignment/>
    </xf>
    <xf numFmtId="0" fontId="0" fillId="0" borderId="56" xfId="0" applyBorder="1" applyAlignment="1">
      <alignment/>
    </xf>
    <xf numFmtId="0" fontId="9" fillId="0" borderId="0" xfId="0" applyFont="1" applyBorder="1" applyAlignment="1">
      <alignment horizontal="left" indent="1"/>
    </xf>
    <xf numFmtId="0" fontId="7" fillId="0" borderId="57" xfId="0" applyFont="1" applyBorder="1" applyAlignment="1">
      <alignment horizontal="right"/>
    </xf>
    <xf numFmtId="0" fontId="2" fillId="0" borderId="58" xfId="0" applyFont="1" applyBorder="1" applyAlignment="1">
      <alignment horizontal="left"/>
    </xf>
    <xf numFmtId="0" fontId="10" fillId="2" borderId="59" xfId="0" applyFont="1" applyFill="1" applyBorder="1" applyAlignment="1">
      <alignment horizontal="right"/>
    </xf>
    <xf numFmtId="0" fontId="10" fillId="2" borderId="60" xfId="0" applyFont="1" applyFill="1" applyBorder="1" applyAlignment="1">
      <alignment horizontal="right"/>
    </xf>
    <xf numFmtId="0" fontId="10" fillId="2" borderId="61" xfId="0" applyFont="1" applyFill="1" applyBorder="1" applyAlignment="1">
      <alignment horizontal="right"/>
    </xf>
    <xf numFmtId="0" fontId="10" fillId="0" borderId="62" xfId="0" applyFont="1" applyBorder="1" applyAlignment="1">
      <alignment horizontal="right"/>
    </xf>
    <xf numFmtId="0" fontId="10" fillId="2" borderId="60" xfId="0" applyFont="1" applyFill="1" applyBorder="1" applyAlignment="1">
      <alignment horizontal="right" vertical="center"/>
    </xf>
    <xf numFmtId="0" fontId="9" fillId="0" borderId="0" xfId="0" applyFont="1" applyAlignment="1">
      <alignment horizontal="right" vertical="center"/>
    </xf>
    <xf numFmtId="0" fontId="12" fillId="0" borderId="0" xfId="0" applyFont="1" applyBorder="1" applyAlignment="1">
      <alignment/>
    </xf>
    <xf numFmtId="0" fontId="15" fillId="0" borderId="0" xfId="0" applyFont="1" applyBorder="1" applyAlignment="1">
      <alignment/>
    </xf>
    <xf numFmtId="0" fontId="12" fillId="0" borderId="0" xfId="0" applyFont="1" applyBorder="1" applyAlignment="1">
      <alignment horizontal="right"/>
    </xf>
    <xf numFmtId="0" fontId="9" fillId="0" borderId="0" xfId="0" applyFont="1" applyAlignment="1">
      <alignment horizontal="left"/>
    </xf>
    <xf numFmtId="0" fontId="9" fillId="0" borderId="0" xfId="0" applyFont="1" applyFill="1" applyBorder="1" applyAlignment="1">
      <alignment horizontal="right"/>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center" vertical="center"/>
    </xf>
    <xf numFmtId="0" fontId="9" fillId="0" borderId="6" xfId="0" applyFont="1" applyBorder="1" applyAlignment="1">
      <alignment/>
    </xf>
    <xf numFmtId="0" fontId="9" fillId="0" borderId="6" xfId="0" applyFont="1" applyFill="1" applyBorder="1" applyAlignment="1">
      <alignment/>
    </xf>
    <xf numFmtId="0" fontId="2" fillId="0" borderId="36" xfId="0" applyFont="1" applyFill="1" applyBorder="1" applyAlignment="1">
      <alignment/>
    </xf>
    <xf numFmtId="0" fontId="2" fillId="0" borderId="21" xfId="0" applyFont="1" applyFill="1" applyBorder="1" applyAlignment="1">
      <alignment/>
    </xf>
    <xf numFmtId="0" fontId="9" fillId="0" borderId="36" xfId="0" applyFont="1" applyFill="1" applyBorder="1" applyAlignment="1">
      <alignment/>
    </xf>
    <xf numFmtId="0" fontId="0" fillId="0" borderId="20" xfId="0" applyFill="1" applyBorder="1" applyAlignment="1">
      <alignment/>
    </xf>
    <xf numFmtId="0" fontId="9" fillId="0" borderId="20" xfId="0" applyFont="1" applyFill="1" applyBorder="1" applyAlignment="1">
      <alignment/>
    </xf>
    <xf numFmtId="0" fontId="9" fillId="0" borderId="63" xfId="0" applyFont="1" applyFill="1" applyBorder="1" applyAlignment="1">
      <alignment horizontal="left" vertical="center"/>
    </xf>
    <xf numFmtId="0" fontId="0" fillId="0" borderId="43" xfId="0" applyBorder="1" applyAlignment="1">
      <alignment/>
    </xf>
    <xf numFmtId="0" fontId="9" fillId="0" borderId="44" xfId="0" applyFont="1" applyBorder="1" applyAlignment="1">
      <alignment/>
    </xf>
    <xf numFmtId="0" fontId="0" fillId="0" borderId="51" xfId="0" applyBorder="1" applyAlignment="1">
      <alignment/>
    </xf>
    <xf numFmtId="0" fontId="9" fillId="0" borderId="27" xfId="0" applyFont="1" applyBorder="1" applyAlignment="1">
      <alignment horizontal="left"/>
    </xf>
    <xf numFmtId="0" fontId="9" fillId="0" borderId="64" xfId="0" applyFont="1" applyFill="1" applyBorder="1" applyAlignment="1">
      <alignment horizontal="left" vertical="center"/>
    </xf>
    <xf numFmtId="0" fontId="9" fillId="0" borderId="65" xfId="0" applyFont="1" applyBorder="1" applyAlignment="1">
      <alignment horizontal="left"/>
    </xf>
    <xf numFmtId="0" fontId="9" fillId="0" borderId="65" xfId="0" applyFont="1" applyFill="1" applyBorder="1" applyAlignment="1">
      <alignment horizontal="left"/>
    </xf>
    <xf numFmtId="0" fontId="9" fillId="0" borderId="66" xfId="0" applyFont="1" applyBorder="1" applyAlignment="1">
      <alignment/>
    </xf>
    <xf numFmtId="0" fontId="0" fillId="0" borderId="67" xfId="0" applyBorder="1" applyAlignment="1">
      <alignment/>
    </xf>
    <xf numFmtId="0" fontId="9" fillId="0" borderId="48" xfId="0" applyFont="1" applyBorder="1" applyAlignment="1">
      <alignment/>
    </xf>
    <xf numFmtId="0" fontId="9" fillId="0" borderId="48" xfId="0" applyFont="1" applyFill="1" applyBorder="1" applyAlignment="1">
      <alignment/>
    </xf>
    <xf numFmtId="0" fontId="0" fillId="0" borderId="52" xfId="0" applyBorder="1" applyAlignment="1">
      <alignment/>
    </xf>
    <xf numFmtId="0" fontId="9" fillId="0" borderId="30" xfId="0" applyFont="1" applyFill="1" applyBorder="1" applyAlignment="1">
      <alignment horizontal="left"/>
    </xf>
    <xf numFmtId="0" fontId="7" fillId="0" borderId="0" xfId="0" applyFont="1" applyBorder="1" applyAlignment="1">
      <alignment horizontal="right"/>
    </xf>
    <xf numFmtId="0" fontId="10" fillId="0" borderId="0" xfId="0" applyFont="1" applyFill="1" applyBorder="1" applyAlignment="1">
      <alignment horizontal="right" vertical="center"/>
    </xf>
    <xf numFmtId="0" fontId="5" fillId="0" borderId="7" xfId="0" applyFont="1" applyBorder="1" applyAlignment="1" applyProtection="1">
      <alignment/>
      <protection/>
    </xf>
    <xf numFmtId="0" fontId="5" fillId="0" borderId="6" xfId="0" applyFont="1" applyBorder="1" applyAlignment="1" applyProtection="1">
      <alignment/>
      <protection/>
    </xf>
    <xf numFmtId="0" fontId="5" fillId="0" borderId="36" xfId="0" applyFont="1" applyBorder="1" applyAlignment="1" applyProtection="1">
      <alignment/>
      <protection/>
    </xf>
    <xf numFmtId="0" fontId="5" fillId="0" borderId="6" xfId="0" applyFont="1" applyFill="1" applyBorder="1" applyAlignment="1" applyProtection="1">
      <alignment/>
      <protection/>
    </xf>
    <xf numFmtId="0" fontId="5" fillId="0" borderId="68" xfId="0" applyFont="1" applyBorder="1" applyAlignment="1">
      <alignment/>
    </xf>
    <xf numFmtId="0" fontId="5" fillId="0" borderId="69" xfId="0" applyFont="1" applyBorder="1" applyAlignment="1">
      <alignment/>
    </xf>
    <xf numFmtId="0" fontId="5" fillId="0" borderId="70" xfId="0" applyFont="1" applyBorder="1" applyAlignment="1">
      <alignment/>
    </xf>
    <xf numFmtId="0" fontId="5" fillId="0" borderId="71" xfId="0" applyFont="1" applyBorder="1" applyAlignment="1">
      <alignment/>
    </xf>
    <xf numFmtId="0" fontId="5" fillId="0" borderId="72" xfId="0" applyFont="1" applyBorder="1" applyAlignment="1">
      <alignment/>
    </xf>
    <xf numFmtId="0" fontId="5" fillId="0" borderId="36" xfId="0" applyFont="1" applyBorder="1" applyAlignment="1">
      <alignment/>
    </xf>
    <xf numFmtId="0" fontId="5" fillId="0" borderId="73" xfId="0" applyFont="1" applyBorder="1" applyAlignment="1">
      <alignment horizontal="center"/>
    </xf>
    <xf numFmtId="0" fontId="5" fillId="0" borderId="73" xfId="0" applyFont="1" applyBorder="1" applyAlignment="1">
      <alignment horizontal="center" vertical="center" wrapText="1"/>
    </xf>
    <xf numFmtId="0" fontId="5" fillId="0" borderId="74" xfId="0" applyFont="1" applyBorder="1" applyAlignment="1">
      <alignment/>
    </xf>
    <xf numFmtId="0" fontId="6" fillId="0" borderId="60" xfId="0" applyFont="1" applyBorder="1" applyAlignment="1">
      <alignment horizontal="center"/>
    </xf>
    <xf numFmtId="0" fontId="6" fillId="0" borderId="75" xfId="0" applyFont="1" applyBorder="1" applyAlignment="1">
      <alignment/>
    </xf>
    <xf numFmtId="0" fontId="5" fillId="0" borderId="0" xfId="0" applyFont="1" applyFill="1" applyBorder="1" applyAlignment="1" applyProtection="1">
      <alignment/>
      <protection/>
    </xf>
    <xf numFmtId="0" fontId="5" fillId="2" borderId="76" xfId="0" applyFont="1" applyFill="1" applyBorder="1" applyAlignment="1" applyProtection="1">
      <alignment/>
      <protection locked="0"/>
    </xf>
    <xf numFmtId="0" fontId="5" fillId="0" borderId="5" xfId="0" applyFont="1" applyBorder="1" applyAlignment="1" applyProtection="1">
      <alignment/>
      <protection/>
    </xf>
    <xf numFmtId="0" fontId="5" fillId="0" borderId="0" xfId="0" applyFont="1" applyAlignment="1" applyProtection="1">
      <alignment horizontal="center"/>
      <protection/>
    </xf>
    <xf numFmtId="0" fontId="5" fillId="0" borderId="32" xfId="0" applyFont="1" applyBorder="1" applyAlignment="1" applyProtection="1">
      <alignment horizontal="center"/>
      <protection/>
    </xf>
    <xf numFmtId="0" fontId="5" fillId="3" borderId="0" xfId="0" applyFont="1" applyFill="1" applyBorder="1" applyAlignment="1" applyProtection="1">
      <alignment/>
      <protection/>
    </xf>
    <xf numFmtId="0" fontId="5" fillId="3" borderId="0" xfId="0" applyFont="1" applyFill="1" applyBorder="1" applyAlignment="1" applyProtection="1">
      <alignment horizontal="center"/>
      <protection/>
    </xf>
    <xf numFmtId="0" fontId="5" fillId="0" borderId="32" xfId="0" applyFont="1" applyBorder="1" applyAlignment="1" applyProtection="1">
      <alignment/>
      <protection/>
    </xf>
    <xf numFmtId="0" fontId="5" fillId="0" borderId="1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5" xfId="0" applyBorder="1" applyAlignment="1" applyProtection="1">
      <alignment/>
      <protection/>
    </xf>
    <xf numFmtId="0" fontId="5" fillId="3" borderId="3" xfId="0" applyFont="1" applyFill="1" applyBorder="1" applyAlignment="1" applyProtection="1">
      <alignment/>
      <protection/>
    </xf>
    <xf numFmtId="0" fontId="0" fillId="0" borderId="6" xfId="0" applyBorder="1" applyAlignment="1" applyProtection="1">
      <alignment/>
      <protection/>
    </xf>
    <xf numFmtId="0" fontId="5" fillId="5" borderId="6" xfId="0" applyFont="1" applyFill="1" applyBorder="1" applyAlignment="1" applyProtection="1">
      <alignment/>
      <protection/>
    </xf>
    <xf numFmtId="0" fontId="5" fillId="6" borderId="6" xfId="0" applyFont="1" applyFill="1" applyBorder="1" applyAlignment="1" applyProtection="1">
      <alignment/>
      <protection/>
    </xf>
    <xf numFmtId="0" fontId="0" fillId="0" borderId="0" xfId="0" applyAlignment="1" applyProtection="1">
      <alignment vertical="center" wrapText="1"/>
      <protection/>
    </xf>
    <xf numFmtId="0" fontId="0" fillId="2" borderId="6" xfId="0" applyFill="1" applyBorder="1" applyAlignment="1" applyProtection="1">
      <alignment/>
      <protection locked="0"/>
    </xf>
    <xf numFmtId="0" fontId="2" fillId="0" borderId="6" xfId="0" applyFont="1" applyBorder="1" applyAlignment="1" applyProtection="1">
      <alignment/>
      <protection/>
    </xf>
    <xf numFmtId="0" fontId="19" fillId="0" borderId="0" xfId="0" applyFont="1" applyFill="1" applyBorder="1" applyAlignment="1">
      <alignment horizontal="center" vertical="center"/>
    </xf>
    <xf numFmtId="0" fontId="9" fillId="0" borderId="0" xfId="0" applyFont="1" applyBorder="1" applyAlignment="1">
      <alignment horizontal="right" vertical="center"/>
    </xf>
    <xf numFmtId="0" fontId="7" fillId="0" borderId="55" xfId="0" applyFont="1" applyBorder="1" applyAlignment="1">
      <alignment horizontal="right"/>
    </xf>
    <xf numFmtId="0" fontId="10" fillId="0" borderId="58" xfId="0" applyFont="1" applyBorder="1" applyAlignment="1">
      <alignment horizontal="center" vertical="center"/>
    </xf>
    <xf numFmtId="0" fontId="5" fillId="0" borderId="36" xfId="0" applyFont="1" applyFill="1" applyBorder="1" applyAlignment="1" applyProtection="1">
      <alignment/>
      <protection/>
    </xf>
    <xf numFmtId="0" fontId="5" fillId="2" borderId="77" xfId="0" applyFont="1" applyFill="1" applyBorder="1" applyAlignment="1" applyProtection="1">
      <alignment/>
      <protection locked="0"/>
    </xf>
    <xf numFmtId="0" fontId="5" fillId="0" borderId="71" xfId="0" applyFont="1" applyBorder="1" applyAlignment="1" applyProtection="1">
      <alignment/>
      <protection/>
    </xf>
    <xf numFmtId="0" fontId="10" fillId="2" borderId="60" xfId="0" applyFont="1" applyFill="1" applyBorder="1" applyAlignment="1">
      <alignment horizontal="center" vertical="center"/>
    </xf>
    <xf numFmtId="0" fontId="10" fillId="0" borderId="78" xfId="0" applyFont="1" applyBorder="1" applyAlignment="1">
      <alignment horizontal="center" vertical="center" wrapText="1"/>
    </xf>
    <xf numFmtId="0" fontId="0" fillId="0" borderId="79" xfId="0" applyBorder="1" applyAlignment="1">
      <alignment horizontal="center" vertical="center"/>
    </xf>
    <xf numFmtId="0" fontId="19" fillId="2" borderId="22" xfId="0" applyFont="1" applyFill="1" applyBorder="1" applyAlignment="1">
      <alignment horizontal="center" vertical="center"/>
    </xf>
    <xf numFmtId="0" fontId="19" fillId="2" borderId="27" xfId="0" applyFont="1" applyFill="1" applyBorder="1" applyAlignment="1">
      <alignment horizontal="center" vertical="center"/>
    </xf>
    <xf numFmtId="0" fontId="8" fillId="0" borderId="6" xfId="0" applyFont="1" applyBorder="1" applyAlignment="1" applyProtection="1">
      <alignment/>
      <protection/>
    </xf>
    <xf numFmtId="177" fontId="5" fillId="0" borderId="0" xfId="0" applyNumberFormat="1" applyFont="1" applyAlignment="1">
      <alignment/>
    </xf>
    <xf numFmtId="0" fontId="10" fillId="0" borderId="29" xfId="0" applyFont="1" applyFill="1" applyBorder="1" applyAlignment="1">
      <alignment horizontal="center" vertical="center"/>
    </xf>
    <xf numFmtId="0" fontId="1" fillId="0" borderId="29" xfId="0" applyFont="1" applyFill="1" applyBorder="1" applyAlignment="1">
      <alignment horizontal="right" vertical="center" wrapText="1"/>
    </xf>
    <xf numFmtId="0" fontId="9" fillId="5" borderId="0" xfId="0" applyFont="1" applyFill="1" applyBorder="1" applyAlignment="1">
      <alignment vertical="center"/>
    </xf>
    <xf numFmtId="0" fontId="2" fillId="0" borderId="0" xfId="0" applyFont="1" applyAlignment="1">
      <alignment horizontal="center"/>
    </xf>
    <xf numFmtId="0" fontId="0" fillId="3" borderId="0" xfId="0" applyFill="1" applyAlignment="1" applyProtection="1">
      <alignment/>
      <protection/>
    </xf>
    <xf numFmtId="0" fontId="10" fillId="0" borderId="0" xfId="0" applyFont="1" applyBorder="1" applyAlignment="1" applyProtection="1">
      <alignment horizontal="center"/>
      <protection/>
    </xf>
    <xf numFmtId="0" fontId="10" fillId="0" borderId="5" xfId="0" applyFont="1" applyBorder="1" applyAlignment="1" applyProtection="1">
      <alignment horizontal="center"/>
      <protection/>
    </xf>
    <xf numFmtId="0" fontId="19" fillId="0" borderId="51" xfId="0" applyNumberFormat="1" applyFont="1" applyBorder="1" applyAlignment="1">
      <alignment horizontal="center" vertical="center"/>
    </xf>
    <xf numFmtId="0" fontId="7" fillId="0" borderId="80" xfId="0" applyFont="1" applyBorder="1" applyAlignment="1">
      <alignment horizontal="right"/>
    </xf>
    <xf numFmtId="0" fontId="5" fillId="0" borderId="81" xfId="0" applyFont="1" applyBorder="1" applyAlignment="1">
      <alignment/>
    </xf>
    <xf numFmtId="0" fontId="5" fillId="0" borderId="82" xfId="0" applyFont="1" applyBorder="1" applyAlignment="1">
      <alignment/>
    </xf>
    <xf numFmtId="0" fontId="0" fillId="0" borderId="6" xfId="0" applyFill="1" applyBorder="1" applyAlignment="1" applyProtection="1">
      <alignment/>
      <protection/>
    </xf>
    <xf numFmtId="0" fontId="2" fillId="0" borderId="6" xfId="0" applyFont="1" applyFill="1" applyBorder="1" applyAlignment="1" applyProtection="1">
      <alignment/>
      <protection/>
    </xf>
    <xf numFmtId="0" fontId="0" fillId="0" borderId="0" xfId="0" applyFill="1" applyBorder="1" applyAlignment="1" applyProtection="1">
      <alignment/>
      <protection/>
    </xf>
    <xf numFmtId="0" fontId="7" fillId="0" borderId="83" xfId="0" applyFont="1" applyFill="1" applyBorder="1" applyAlignment="1">
      <alignment horizontal="right" vertical="center"/>
    </xf>
    <xf numFmtId="0" fontId="2" fillId="6" borderId="0" xfId="0" applyFont="1" applyFill="1" applyAlignment="1" applyProtection="1">
      <alignment vertical="center" wrapText="1"/>
      <protection/>
    </xf>
    <xf numFmtId="0" fontId="0" fillId="6" borderId="0" xfId="0" applyFill="1" applyAlignment="1" applyProtection="1">
      <alignment vertical="center" wrapText="1"/>
      <protection/>
    </xf>
    <xf numFmtId="0" fontId="10" fillId="7" borderId="0" xfId="0" applyFont="1" applyFill="1" applyAlignment="1" applyProtection="1">
      <alignment vertical="top" wrapText="1"/>
      <protection/>
    </xf>
    <xf numFmtId="0" fontId="0" fillId="7" borderId="0" xfId="0" applyFill="1" applyAlignment="1" applyProtection="1">
      <alignment vertical="top" wrapText="1"/>
      <protection/>
    </xf>
    <xf numFmtId="49" fontId="5" fillId="2" borderId="0" xfId="0" applyNumberFormat="1" applyFont="1" applyFill="1" applyAlignment="1" applyProtection="1">
      <alignment/>
      <protection locked="0"/>
    </xf>
    <xf numFmtId="0" fontId="0" fillId="0" borderId="0" xfId="0" applyAlignment="1" applyProtection="1">
      <alignment/>
      <protection locked="0"/>
    </xf>
    <xf numFmtId="0" fontId="5" fillId="2" borderId="0" xfId="0" applyFont="1" applyFill="1" applyAlignment="1" applyProtection="1">
      <alignment/>
      <protection locked="0"/>
    </xf>
    <xf numFmtId="0" fontId="2" fillId="5" borderId="0" xfId="0" applyFont="1" applyFill="1" applyAlignment="1" applyProtection="1">
      <alignment vertical="top" wrapText="1"/>
      <protection/>
    </xf>
    <xf numFmtId="0" fontId="0" fillId="5" borderId="0" xfId="0" applyFill="1" applyAlignment="1" applyProtection="1">
      <alignment vertical="top" wrapText="1"/>
      <protection/>
    </xf>
    <xf numFmtId="0" fontId="0" fillId="0" borderId="0" xfId="0" applyAlignment="1" applyProtection="1">
      <alignment/>
      <protection/>
    </xf>
    <xf numFmtId="0" fontId="9" fillId="0" borderId="28" xfId="0" applyFont="1" applyBorder="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Border="1" applyAlignment="1">
      <alignment horizontal="right"/>
    </xf>
    <xf numFmtId="0" fontId="2" fillId="3" borderId="0" xfId="0" applyFont="1" applyFill="1" applyAlignment="1">
      <alignment horizontal="left" vertical="top" indent="1"/>
    </xf>
    <xf numFmtId="0" fontId="0" fillId="0" borderId="0" xfId="0" applyAlignment="1">
      <alignment horizontal="left" vertical="top" indent="1"/>
    </xf>
    <xf numFmtId="0" fontId="9" fillId="0" borderId="47" xfId="0" applyFont="1" applyBorder="1" applyAlignment="1">
      <alignment horizontal="center" vertical="center"/>
    </xf>
    <xf numFmtId="0" fontId="9" fillId="0" borderId="49" xfId="0" applyFont="1" applyBorder="1" applyAlignment="1">
      <alignment horizontal="center" vertical="center"/>
    </xf>
    <xf numFmtId="0" fontId="10" fillId="0" borderId="58" xfId="0" applyFont="1"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9" fillId="0" borderId="21" xfId="0" applyFont="1" applyBorder="1" applyAlignment="1">
      <alignment horizontal="left" vertical="center"/>
    </xf>
    <xf numFmtId="0" fontId="0" fillId="0" borderId="21" xfId="0" applyBorder="1" applyAlignment="1">
      <alignment vertical="center"/>
    </xf>
    <xf numFmtId="0" fontId="9" fillId="0" borderId="38" xfId="0" applyFont="1" applyBorder="1" applyAlignment="1">
      <alignment horizontal="left" vertical="center"/>
    </xf>
    <xf numFmtId="0" fontId="0" fillId="0" borderId="38" xfId="0" applyBorder="1" applyAlignment="1">
      <alignment vertical="center"/>
    </xf>
    <xf numFmtId="0" fontId="19" fillId="0" borderId="84" xfId="0" applyFont="1" applyBorder="1" applyAlignment="1">
      <alignment horizontal="center" vertical="center"/>
    </xf>
    <xf numFmtId="0" fontId="2" fillId="0" borderId="53" xfId="0" applyFont="1" applyBorder="1" applyAlignment="1">
      <alignment horizontal="center" vertical="center"/>
    </xf>
    <xf numFmtId="0" fontId="9" fillId="0" borderId="38" xfId="0" applyFont="1" applyBorder="1" applyAlignment="1">
      <alignment horizontal="right" vertical="center"/>
    </xf>
    <xf numFmtId="0" fontId="0" fillId="0" borderId="38" xfId="0" applyBorder="1" applyAlignment="1">
      <alignment horizontal="right" vertical="center"/>
    </xf>
    <xf numFmtId="0" fontId="9" fillId="0" borderId="38" xfId="0" applyFont="1" applyBorder="1" applyAlignment="1">
      <alignment horizontal="right"/>
    </xf>
    <xf numFmtId="0" fontId="0" fillId="0" borderId="38" xfId="0" applyBorder="1" applyAlignment="1">
      <alignment horizontal="right"/>
    </xf>
    <xf numFmtId="0" fontId="11" fillId="0" borderId="20" xfId="0" applyFont="1" applyBorder="1" applyAlignment="1">
      <alignment horizontal="right" vertical="center"/>
    </xf>
    <xf numFmtId="0" fontId="0" fillId="0" borderId="21" xfId="0" applyBorder="1" applyAlignment="1">
      <alignment/>
    </xf>
    <xf numFmtId="0" fontId="0" fillId="0" borderId="36" xfId="0" applyBorder="1" applyAlignment="1">
      <alignment/>
    </xf>
    <xf numFmtId="0" fontId="17" fillId="0" borderId="22" xfId="0" applyFont="1" applyBorder="1" applyAlignment="1">
      <alignment horizontal="right" vertical="center"/>
    </xf>
    <xf numFmtId="0" fontId="17" fillId="0" borderId="22" xfId="0" applyFont="1" applyBorder="1" applyAlignment="1">
      <alignment horizontal="right"/>
    </xf>
    <xf numFmtId="0" fontId="9" fillId="0" borderId="24" xfId="0" applyFont="1" applyFill="1" applyBorder="1" applyAlignment="1">
      <alignment horizontal="left" vertical="center" wrapText="1"/>
    </xf>
    <xf numFmtId="0" fontId="0" fillId="0" borderId="6" xfId="0" applyBorder="1" applyAlignment="1">
      <alignment wrapText="1"/>
    </xf>
    <xf numFmtId="0" fontId="2" fillId="0" borderId="0" xfId="0" applyFont="1" applyFill="1" applyBorder="1" applyAlignment="1">
      <alignment horizontal="left"/>
    </xf>
    <xf numFmtId="0" fontId="0" fillId="0" borderId="0" xfId="0" applyFill="1" applyBorder="1" applyAlignment="1">
      <alignment/>
    </xf>
    <xf numFmtId="0" fontId="10" fillId="0" borderId="58" xfId="0" applyFont="1" applyBorder="1" applyAlignment="1">
      <alignment wrapText="1"/>
    </xf>
    <xf numFmtId="0" fontId="0" fillId="0" borderId="55" xfId="0" applyBorder="1" applyAlignment="1">
      <alignment/>
    </xf>
    <xf numFmtId="0" fontId="10" fillId="0" borderId="78" xfId="0" applyFont="1" applyBorder="1" applyAlignment="1">
      <alignment horizontal="center" vertical="center"/>
    </xf>
    <xf numFmtId="0" fontId="0" fillId="0" borderId="79" xfId="0" applyBorder="1" applyAlignment="1">
      <alignment horizontal="center" vertical="center"/>
    </xf>
    <xf numFmtId="0" fontId="10" fillId="0" borderId="56" xfId="0" applyFont="1" applyBorder="1" applyAlignment="1">
      <alignment horizontal="center" vertical="center"/>
    </xf>
    <xf numFmtId="0" fontId="0" fillId="0" borderId="56" xfId="0" applyBorder="1" applyAlignment="1">
      <alignment horizontal="center" vertical="center"/>
    </xf>
    <xf numFmtId="0" fontId="2" fillId="0" borderId="16" xfId="0" applyFont="1" applyBorder="1" applyAlignment="1">
      <alignment vertical="center"/>
    </xf>
    <xf numFmtId="0" fontId="2" fillId="3" borderId="0" xfId="0" applyFont="1" applyFill="1" applyAlignment="1">
      <alignment horizontal="left"/>
    </xf>
    <xf numFmtId="0" fontId="0" fillId="3" borderId="0" xfId="0" applyFill="1" applyAlignment="1">
      <alignment/>
    </xf>
    <xf numFmtId="0" fontId="0" fillId="0" borderId="0" xfId="0" applyAlignment="1">
      <alignment/>
    </xf>
    <xf numFmtId="0" fontId="2" fillId="0" borderId="0" xfId="0" applyFont="1" applyAlignment="1">
      <alignment horizontal="right"/>
    </xf>
    <xf numFmtId="0" fontId="0" fillId="0" borderId="0" xfId="0" applyAlignment="1">
      <alignment horizontal="right"/>
    </xf>
    <xf numFmtId="0" fontId="16" fillId="0" borderId="29" xfId="0" applyFont="1" applyBorder="1" applyAlignment="1">
      <alignment horizontal="left" vertical="center" wrapText="1"/>
    </xf>
    <xf numFmtId="0" fontId="0" fillId="0" borderId="29" xfId="0" applyBorder="1" applyAlignment="1">
      <alignment horizontal="left" vertical="center"/>
    </xf>
    <xf numFmtId="0" fontId="0" fillId="0" borderId="29" xfId="0" applyBorder="1" applyAlignment="1">
      <alignment vertical="center"/>
    </xf>
    <xf numFmtId="0" fontId="9" fillId="0" borderId="47" xfId="0" applyFont="1" applyBorder="1" applyAlignment="1">
      <alignment horizontal="right" vertical="center"/>
    </xf>
    <xf numFmtId="0" fontId="0" fillId="0" borderId="80" xfId="0" applyFont="1" applyBorder="1" applyAlignment="1">
      <alignment horizontal="righ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40"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85" xfId="0" applyFont="1" applyBorder="1" applyAlignment="1">
      <alignment horizontal="center"/>
    </xf>
    <xf numFmtId="0" fontId="5" fillId="0" borderId="86" xfId="0" applyFont="1" applyBorder="1" applyAlignment="1">
      <alignment horizontal="center"/>
    </xf>
    <xf numFmtId="0" fontId="0" fillId="0" borderId="41" xfId="0" applyBorder="1" applyAlignment="1">
      <alignment/>
    </xf>
    <xf numFmtId="0" fontId="5" fillId="0" borderId="41" xfId="0" applyFont="1" applyBorder="1" applyAlignment="1">
      <alignment horizontal="center"/>
    </xf>
    <xf numFmtId="0" fontId="6" fillId="0" borderId="13"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87" xfId="0" applyFont="1" applyBorder="1" applyAlignment="1">
      <alignment/>
    </xf>
    <xf numFmtId="0" fontId="5" fillId="0" borderId="87" xfId="0" applyFont="1" applyBorder="1" applyAlignment="1">
      <alignment/>
    </xf>
    <xf numFmtId="0" fontId="5" fillId="0" borderId="37" xfId="0" applyFont="1" applyBorder="1" applyAlignment="1">
      <alignment/>
    </xf>
    <xf numFmtId="0" fontId="5" fillId="0" borderId="88" xfId="0" applyFont="1" applyBorder="1" applyAlignment="1">
      <alignment/>
    </xf>
    <xf numFmtId="0" fontId="1" fillId="0" borderId="64" xfId="0" applyFont="1" applyFill="1" applyBorder="1" applyAlignment="1">
      <alignment horizontal="left" vertical="center"/>
    </xf>
    <xf numFmtId="177" fontId="9" fillId="0" borderId="65" xfId="0" applyNumberFormat="1" applyFont="1"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18check_sheet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文系・総合)"/>
      <sheetName val="入力(理工系，国際ほか)"/>
      <sheetName val="入力(専門科目)"/>
      <sheetName val="判定結果 "/>
      <sheetName val="入力不可1"/>
      <sheetName val="入力不可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49"/>
  <sheetViews>
    <sheetView tabSelected="1" workbookViewId="0" topLeftCell="A1">
      <pane ySplit="4" topLeftCell="BM5" activePane="bottomLeft" state="frozen"/>
      <selection pane="topLeft" activeCell="A1" sqref="A1"/>
      <selection pane="bottomLeft" activeCell="C1" sqref="C1:D1"/>
    </sheetView>
  </sheetViews>
  <sheetFormatPr defaultColWidth="9.00390625" defaultRowHeight="13.5"/>
  <cols>
    <col min="1" max="1" width="2.875" style="64" customWidth="1"/>
    <col min="2" max="2" width="16.25390625" style="64" customWidth="1"/>
    <col min="3" max="3" width="7.125" style="64" customWidth="1"/>
    <col min="4" max="4" width="2.50390625" style="64" customWidth="1"/>
    <col min="5" max="5" width="2.625" style="64" customWidth="1"/>
    <col min="6" max="6" width="16.375" style="64" customWidth="1"/>
    <col min="7" max="7" width="7.125" style="64" customWidth="1"/>
    <col min="8" max="8" width="2.625" style="64" customWidth="1"/>
    <col min="9" max="9" width="2.50390625" style="64" customWidth="1"/>
    <col min="10" max="10" width="20.375" style="64" customWidth="1"/>
    <col min="11" max="11" width="7.125" style="64" customWidth="1"/>
    <col min="12" max="13" width="2.625" style="64" customWidth="1"/>
    <col min="14" max="14" width="20.00390625" style="64" customWidth="1"/>
    <col min="15" max="15" width="7.125" style="64" customWidth="1"/>
    <col min="16" max="16" width="2.625" style="64" customWidth="1"/>
    <col min="17" max="17" width="2.50390625" style="64" customWidth="1"/>
    <col min="18" max="18" width="13.00390625" style="64" customWidth="1"/>
    <col min="19" max="19" width="6.75390625" style="64" customWidth="1"/>
    <col min="20" max="16384" width="9.00390625" style="64" customWidth="1"/>
  </cols>
  <sheetData>
    <row r="1" spans="2:9" ht="13.5">
      <c r="B1" s="65" t="s">
        <v>203</v>
      </c>
      <c r="C1" s="299" t="s">
        <v>462</v>
      </c>
      <c r="D1" s="300"/>
      <c r="E1" s="66"/>
      <c r="F1" s="67" t="s">
        <v>202</v>
      </c>
      <c r="G1" s="301" t="s">
        <v>215</v>
      </c>
      <c r="H1" s="301"/>
      <c r="I1" s="301"/>
    </row>
    <row r="3" spans="1:15" s="68" customFormat="1" ht="13.5">
      <c r="A3" s="116" t="s">
        <v>301</v>
      </c>
      <c r="B3" s="115"/>
      <c r="C3" s="107"/>
      <c r="E3" s="116" t="s">
        <v>302</v>
      </c>
      <c r="F3" s="69"/>
      <c r="G3" s="70"/>
      <c r="I3" s="117" t="s">
        <v>303</v>
      </c>
      <c r="J3" s="69"/>
      <c r="K3" s="70"/>
      <c r="L3" s="108"/>
      <c r="M3" s="117" t="s">
        <v>299</v>
      </c>
      <c r="N3" s="69"/>
      <c r="O3" s="69"/>
    </row>
    <row r="4" spans="1:15" ht="12.75" thickBot="1">
      <c r="A4" s="71"/>
      <c r="B4" s="72" t="s">
        <v>35</v>
      </c>
      <c r="C4" s="73" t="s">
        <v>36</v>
      </c>
      <c r="D4" s="74"/>
      <c r="E4" s="74"/>
      <c r="F4" s="72" t="s">
        <v>35</v>
      </c>
      <c r="G4" s="73" t="s">
        <v>36</v>
      </c>
      <c r="H4" s="74"/>
      <c r="I4" s="72"/>
      <c r="J4" s="72" t="s">
        <v>35</v>
      </c>
      <c r="K4" s="73" t="s">
        <v>36</v>
      </c>
      <c r="L4" s="114"/>
      <c r="M4" s="72"/>
      <c r="N4" s="72" t="s">
        <v>35</v>
      </c>
      <c r="O4" s="73" t="s">
        <v>36</v>
      </c>
    </row>
    <row r="5" spans="1:15" ht="12" customHeight="1">
      <c r="A5" s="75"/>
      <c r="B5" s="232" t="s">
        <v>304</v>
      </c>
      <c r="C5" s="82"/>
      <c r="D5" s="76"/>
      <c r="E5" s="76"/>
      <c r="F5" s="272" t="s">
        <v>315</v>
      </c>
      <c r="G5" s="82"/>
      <c r="H5" s="76"/>
      <c r="I5" s="77"/>
      <c r="J5" s="234" t="s">
        <v>385</v>
      </c>
      <c r="K5" s="82"/>
      <c r="L5" s="77"/>
      <c r="M5" s="77"/>
      <c r="N5" s="272" t="s">
        <v>189</v>
      </c>
      <c r="O5" s="82"/>
    </row>
    <row r="6" spans="1:15" ht="12">
      <c r="A6" s="75"/>
      <c r="B6" s="233" t="s">
        <v>178</v>
      </c>
      <c r="C6" s="83"/>
      <c r="D6" s="77"/>
      <c r="E6" s="77"/>
      <c r="F6" s="234" t="s">
        <v>316</v>
      </c>
      <c r="G6" s="83"/>
      <c r="H6" s="77"/>
      <c r="I6" s="77"/>
      <c r="J6" s="234" t="s">
        <v>386</v>
      </c>
      <c r="K6" s="83"/>
      <c r="L6" s="109"/>
      <c r="M6" s="77"/>
      <c r="N6" s="234" t="s">
        <v>395</v>
      </c>
      <c r="O6" s="83"/>
    </row>
    <row r="7" spans="1:15" ht="12">
      <c r="A7" s="75"/>
      <c r="B7" s="233" t="s">
        <v>279</v>
      </c>
      <c r="C7" s="83"/>
      <c r="D7" s="77"/>
      <c r="E7" s="77"/>
      <c r="F7" s="234" t="s">
        <v>317</v>
      </c>
      <c r="G7" s="83"/>
      <c r="H7" s="77"/>
      <c r="I7" s="77"/>
      <c r="J7" s="234" t="s">
        <v>193</v>
      </c>
      <c r="K7" s="83"/>
      <c r="L7" s="109"/>
      <c r="M7" s="77"/>
      <c r="N7" s="234" t="s">
        <v>396</v>
      </c>
      <c r="O7" s="83"/>
    </row>
    <row r="8" spans="1:15" ht="12">
      <c r="A8" s="75"/>
      <c r="B8" s="233" t="s">
        <v>305</v>
      </c>
      <c r="C8" s="83"/>
      <c r="D8" s="77"/>
      <c r="E8" s="77"/>
      <c r="F8" s="234" t="s">
        <v>318</v>
      </c>
      <c r="G8" s="83"/>
      <c r="H8" s="77"/>
      <c r="I8" s="77"/>
      <c r="J8" s="234" t="s">
        <v>387</v>
      </c>
      <c r="K8" s="83"/>
      <c r="L8" s="109"/>
      <c r="M8" s="77"/>
      <c r="N8" s="234" t="s">
        <v>397</v>
      </c>
      <c r="O8" s="83"/>
    </row>
    <row r="9" spans="1:15" ht="12">
      <c r="A9" s="75"/>
      <c r="B9" s="233" t="s">
        <v>306</v>
      </c>
      <c r="C9" s="83"/>
      <c r="D9" s="77"/>
      <c r="E9" s="77"/>
      <c r="F9" s="234" t="s">
        <v>319</v>
      </c>
      <c r="G9" s="83"/>
      <c r="H9" s="77"/>
      <c r="I9" s="77"/>
      <c r="J9" s="234" t="s">
        <v>388</v>
      </c>
      <c r="K9" s="83"/>
      <c r="L9" s="109"/>
      <c r="M9" s="77"/>
      <c r="N9" s="234" t="s">
        <v>190</v>
      </c>
      <c r="O9" s="83"/>
    </row>
    <row r="10" spans="1:15" ht="12">
      <c r="A10" s="75"/>
      <c r="B10" s="233" t="s">
        <v>179</v>
      </c>
      <c r="C10" s="83"/>
      <c r="D10" s="77"/>
      <c r="E10" s="77"/>
      <c r="F10" s="234" t="s">
        <v>320</v>
      </c>
      <c r="G10" s="83"/>
      <c r="H10" s="77"/>
      <c r="I10" s="77"/>
      <c r="J10" s="234" t="s">
        <v>389</v>
      </c>
      <c r="K10" s="83"/>
      <c r="L10" s="109"/>
      <c r="M10" s="77"/>
      <c r="N10" s="234" t="s">
        <v>191</v>
      </c>
      <c r="O10" s="83"/>
    </row>
    <row r="11" spans="1:15" ht="12">
      <c r="A11" s="75"/>
      <c r="B11" s="233" t="s">
        <v>307</v>
      </c>
      <c r="C11" s="83"/>
      <c r="D11" s="77"/>
      <c r="E11" s="77"/>
      <c r="F11" s="234" t="s">
        <v>321</v>
      </c>
      <c r="G11" s="83"/>
      <c r="H11" s="77"/>
      <c r="I11" s="77"/>
      <c r="J11" s="234" t="s">
        <v>390</v>
      </c>
      <c r="K11" s="83"/>
      <c r="L11" s="109"/>
      <c r="M11" s="77"/>
      <c r="N11" s="234" t="s">
        <v>192</v>
      </c>
      <c r="O11" s="83"/>
    </row>
    <row r="12" spans="1:15" ht="12">
      <c r="A12" s="75"/>
      <c r="B12" s="233" t="s">
        <v>314</v>
      </c>
      <c r="C12" s="83"/>
      <c r="D12" s="77"/>
      <c r="E12" s="77"/>
      <c r="F12" s="234" t="s">
        <v>322</v>
      </c>
      <c r="G12" s="83"/>
      <c r="H12" s="77"/>
      <c r="I12" s="77"/>
      <c r="J12" s="234" t="s">
        <v>391</v>
      </c>
      <c r="K12" s="83"/>
      <c r="L12" s="109"/>
      <c r="M12" s="77"/>
      <c r="N12" s="234" t="s">
        <v>194</v>
      </c>
      <c r="O12" s="83"/>
    </row>
    <row r="13" spans="1:15" ht="12">
      <c r="A13" s="75"/>
      <c r="B13" s="233" t="s">
        <v>181</v>
      </c>
      <c r="C13" s="83"/>
      <c r="D13" s="77"/>
      <c r="E13" s="77"/>
      <c r="F13" s="234" t="s">
        <v>323</v>
      </c>
      <c r="G13" s="83"/>
      <c r="H13" s="77"/>
      <c r="I13" s="77"/>
      <c r="J13" s="234"/>
      <c r="K13" s="83"/>
      <c r="L13" s="109"/>
      <c r="M13" s="77"/>
      <c r="N13" s="234" t="s">
        <v>398</v>
      </c>
      <c r="O13" s="83"/>
    </row>
    <row r="14" spans="1:15" ht="12">
      <c r="A14" s="75"/>
      <c r="B14" s="233" t="s">
        <v>180</v>
      </c>
      <c r="C14" s="83"/>
      <c r="D14" s="77"/>
      <c r="E14" s="77"/>
      <c r="F14" s="234" t="s">
        <v>324</v>
      </c>
      <c r="G14" s="83"/>
      <c r="H14" s="77"/>
      <c r="I14" s="77"/>
      <c r="J14" s="234"/>
      <c r="K14" s="83"/>
      <c r="L14" s="109"/>
      <c r="M14" s="77"/>
      <c r="N14" s="234" t="s">
        <v>196</v>
      </c>
      <c r="O14" s="83"/>
    </row>
    <row r="15" spans="1:15" ht="12">
      <c r="A15" s="75"/>
      <c r="B15" s="233" t="s">
        <v>183</v>
      </c>
      <c r="C15" s="83"/>
      <c r="D15" s="77"/>
      <c r="E15" s="77"/>
      <c r="F15" s="234" t="s">
        <v>325</v>
      </c>
      <c r="G15" s="83"/>
      <c r="H15" s="77"/>
      <c r="I15" s="77"/>
      <c r="J15" s="234"/>
      <c r="K15" s="83"/>
      <c r="L15" s="109"/>
      <c r="M15" s="77"/>
      <c r="N15" s="234" t="s">
        <v>197</v>
      </c>
      <c r="O15" s="83"/>
    </row>
    <row r="16" spans="1:15" ht="12">
      <c r="A16" s="75"/>
      <c r="B16" s="233" t="s">
        <v>182</v>
      </c>
      <c r="C16" s="83"/>
      <c r="D16" s="77"/>
      <c r="E16" s="77"/>
      <c r="F16" s="234" t="s">
        <v>326</v>
      </c>
      <c r="G16" s="83"/>
      <c r="H16" s="77"/>
      <c r="I16" s="77"/>
      <c r="J16" s="234"/>
      <c r="K16" s="83"/>
      <c r="L16" s="109"/>
      <c r="M16" s="77"/>
      <c r="N16" s="234" t="s">
        <v>198</v>
      </c>
      <c r="O16" s="83"/>
    </row>
    <row r="17" spans="1:15" ht="12.75" thickBot="1">
      <c r="A17" s="75"/>
      <c r="B17" s="233" t="s">
        <v>184</v>
      </c>
      <c r="C17" s="83"/>
      <c r="D17" s="77"/>
      <c r="E17" s="77"/>
      <c r="F17" s="234" t="s">
        <v>327</v>
      </c>
      <c r="G17" s="83"/>
      <c r="H17" s="77"/>
      <c r="I17" s="79" t="s">
        <v>200</v>
      </c>
      <c r="J17" s="80"/>
      <c r="K17" s="110"/>
      <c r="L17" s="109"/>
      <c r="M17" s="77"/>
      <c r="N17" s="234" t="s">
        <v>281</v>
      </c>
      <c r="O17" s="83"/>
    </row>
    <row r="18" spans="1:15" ht="12">
      <c r="A18" s="75"/>
      <c r="B18" s="233" t="s">
        <v>185</v>
      </c>
      <c r="C18" s="83"/>
      <c r="D18" s="77"/>
      <c r="E18" s="77"/>
      <c r="F18" s="234" t="s">
        <v>328</v>
      </c>
      <c r="G18" s="83"/>
      <c r="H18" s="77"/>
      <c r="I18" s="109"/>
      <c r="J18" s="111"/>
      <c r="K18" s="82"/>
      <c r="L18" s="109"/>
      <c r="M18" s="77"/>
      <c r="N18" s="234" t="s">
        <v>199</v>
      </c>
      <c r="O18" s="83"/>
    </row>
    <row r="19" spans="1:15" ht="12">
      <c r="A19" s="75"/>
      <c r="B19" s="233" t="s">
        <v>280</v>
      </c>
      <c r="C19" s="83"/>
      <c r="D19" s="77"/>
      <c r="E19" s="77"/>
      <c r="F19" s="234" t="s">
        <v>329</v>
      </c>
      <c r="G19" s="83"/>
      <c r="H19" s="77"/>
      <c r="I19" s="77"/>
      <c r="J19" s="112"/>
      <c r="K19" s="83"/>
      <c r="L19" s="109"/>
      <c r="M19" s="77"/>
      <c r="N19" s="234" t="s">
        <v>399</v>
      </c>
      <c r="O19" s="83"/>
    </row>
    <row r="20" spans="1:15" ht="12">
      <c r="A20" s="75"/>
      <c r="B20" s="233" t="s">
        <v>308</v>
      </c>
      <c r="C20" s="83"/>
      <c r="D20" s="77"/>
      <c r="E20" s="77"/>
      <c r="F20" s="234" t="s">
        <v>330</v>
      </c>
      <c r="G20" s="83"/>
      <c r="H20" s="77"/>
      <c r="I20" s="77"/>
      <c r="J20" s="112"/>
      <c r="K20" s="83"/>
      <c r="L20" s="109"/>
      <c r="M20" s="77"/>
      <c r="N20" s="234" t="s">
        <v>195</v>
      </c>
      <c r="O20" s="83"/>
    </row>
    <row r="21" spans="1:15" ht="12">
      <c r="A21" s="75"/>
      <c r="B21" s="233" t="s">
        <v>309</v>
      </c>
      <c r="C21" s="83"/>
      <c r="D21" s="77"/>
      <c r="E21" s="77"/>
      <c r="F21" s="234" t="s">
        <v>331</v>
      </c>
      <c r="G21" s="83"/>
      <c r="H21" s="77"/>
      <c r="I21" s="77"/>
      <c r="J21" s="112"/>
      <c r="K21" s="83"/>
      <c r="L21" s="109"/>
      <c r="M21" s="77"/>
      <c r="N21" s="234"/>
      <c r="O21" s="83"/>
    </row>
    <row r="22" spans="1:15" ht="12">
      <c r="A22" s="75"/>
      <c r="B22" s="233" t="s">
        <v>310</v>
      </c>
      <c r="C22" s="83"/>
      <c r="D22" s="77"/>
      <c r="E22" s="77"/>
      <c r="F22" s="234" t="s">
        <v>332</v>
      </c>
      <c r="G22" s="83"/>
      <c r="H22" s="77"/>
      <c r="I22" s="77"/>
      <c r="J22" s="112"/>
      <c r="K22" s="83"/>
      <c r="L22" s="109"/>
      <c r="M22" s="77"/>
      <c r="N22" s="234"/>
      <c r="O22" s="83"/>
    </row>
    <row r="23" spans="1:15" ht="12">
      <c r="A23" s="75"/>
      <c r="B23" s="233" t="s">
        <v>311</v>
      </c>
      <c r="C23" s="83"/>
      <c r="D23" s="77"/>
      <c r="E23" s="77"/>
      <c r="F23" s="234" t="s">
        <v>333</v>
      </c>
      <c r="G23" s="83"/>
      <c r="H23" s="77"/>
      <c r="I23" s="77"/>
      <c r="J23" s="112"/>
      <c r="K23" s="83"/>
      <c r="L23" s="109"/>
      <c r="M23" s="77"/>
      <c r="N23" s="234"/>
      <c r="O23" s="83"/>
    </row>
    <row r="24" spans="1:15" ht="12">
      <c r="A24" s="75"/>
      <c r="B24" s="233" t="s">
        <v>187</v>
      </c>
      <c r="C24" s="83"/>
      <c r="D24" s="77"/>
      <c r="E24" s="77"/>
      <c r="F24" s="234" t="s">
        <v>334</v>
      </c>
      <c r="G24" s="83"/>
      <c r="H24" s="77"/>
      <c r="I24" s="77"/>
      <c r="J24" s="112"/>
      <c r="K24" s="83"/>
      <c r="L24" s="109"/>
      <c r="M24" s="77"/>
      <c r="N24" s="234"/>
      <c r="O24" s="83"/>
    </row>
    <row r="25" spans="1:15" ht="12">
      <c r="A25" s="75"/>
      <c r="B25" s="233" t="s">
        <v>312</v>
      </c>
      <c r="C25" s="83"/>
      <c r="D25" s="77"/>
      <c r="E25" s="77"/>
      <c r="F25" s="234" t="s">
        <v>335</v>
      </c>
      <c r="G25" s="83"/>
      <c r="H25" s="77"/>
      <c r="I25" s="77"/>
      <c r="J25" s="112"/>
      <c r="K25" s="83"/>
      <c r="L25" s="109"/>
      <c r="M25" s="77"/>
      <c r="N25" s="234"/>
      <c r="O25" s="83"/>
    </row>
    <row r="26" spans="1:15" ht="12">
      <c r="A26" s="75"/>
      <c r="B26" s="233" t="s">
        <v>186</v>
      </c>
      <c r="C26" s="83"/>
      <c r="D26" s="78"/>
      <c r="E26" s="78"/>
      <c r="F26" s="234" t="s">
        <v>336</v>
      </c>
      <c r="G26" s="83"/>
      <c r="H26" s="77"/>
      <c r="I26" s="77"/>
      <c r="J26" s="112"/>
      <c r="K26" s="83"/>
      <c r="L26" s="109"/>
      <c r="N26" s="234"/>
      <c r="O26" s="83"/>
    </row>
    <row r="27" spans="1:15" ht="12.75" thickBot="1">
      <c r="A27" s="75"/>
      <c r="B27" s="233" t="s">
        <v>313</v>
      </c>
      <c r="C27" s="83"/>
      <c r="D27" s="78"/>
      <c r="E27" s="78"/>
      <c r="F27" s="234" t="s">
        <v>337</v>
      </c>
      <c r="G27" s="83"/>
      <c r="H27" s="77"/>
      <c r="J27" s="113"/>
      <c r="K27" s="85"/>
      <c r="L27" s="109"/>
      <c r="N27" s="234"/>
      <c r="O27" s="83"/>
    </row>
    <row r="28" spans="1:15" ht="12.75" thickBot="1">
      <c r="A28" s="75"/>
      <c r="B28" s="233" t="s">
        <v>188</v>
      </c>
      <c r="C28" s="83"/>
      <c r="D28" s="78"/>
      <c r="E28" s="78"/>
      <c r="F28" s="234" t="s">
        <v>338</v>
      </c>
      <c r="G28" s="83"/>
      <c r="H28" s="77"/>
      <c r="I28" s="77"/>
      <c r="L28" s="109"/>
      <c r="M28" s="79" t="s">
        <v>200</v>
      </c>
      <c r="N28" s="80"/>
      <c r="O28" s="81"/>
    </row>
    <row r="29" spans="1:15" ht="14.25" thickBot="1">
      <c r="A29" s="75"/>
      <c r="B29" s="233"/>
      <c r="C29" s="83"/>
      <c r="D29" s="77"/>
      <c r="E29" s="77"/>
      <c r="F29" s="234" t="s">
        <v>339</v>
      </c>
      <c r="G29" s="83"/>
      <c r="H29" s="77"/>
      <c r="I29" s="117" t="s">
        <v>394</v>
      </c>
      <c r="J29" s="80"/>
      <c r="K29" s="80"/>
      <c r="L29" s="77"/>
      <c r="M29" s="78"/>
      <c r="N29" s="111"/>
      <c r="O29" s="82"/>
    </row>
    <row r="30" spans="1:15" ht="12.75" thickTop="1">
      <c r="A30" s="75"/>
      <c r="B30" s="233"/>
      <c r="C30" s="83"/>
      <c r="D30" s="77"/>
      <c r="E30" s="77"/>
      <c r="F30" s="234" t="s">
        <v>340</v>
      </c>
      <c r="G30" s="83"/>
      <c r="H30" s="77"/>
      <c r="I30" s="77"/>
      <c r="J30" s="271"/>
      <c r="K30" s="248"/>
      <c r="L30" s="77"/>
      <c r="M30" s="78"/>
      <c r="N30" s="112"/>
      <c r="O30" s="83"/>
    </row>
    <row r="31" spans="1:15" ht="12">
      <c r="A31" s="75"/>
      <c r="B31" s="233"/>
      <c r="C31" s="83"/>
      <c r="D31" s="77"/>
      <c r="E31" s="77"/>
      <c r="F31" s="234" t="s">
        <v>341</v>
      </c>
      <c r="G31" s="83"/>
      <c r="H31" s="77"/>
      <c r="I31" s="77"/>
      <c r="J31" s="112"/>
      <c r="K31" s="83"/>
      <c r="M31" s="77"/>
      <c r="N31" s="112"/>
      <c r="O31" s="83"/>
    </row>
    <row r="32" spans="1:15" ht="12">
      <c r="A32" s="75"/>
      <c r="B32" s="233"/>
      <c r="C32" s="83"/>
      <c r="D32" s="77"/>
      <c r="E32" s="77"/>
      <c r="F32" s="234" t="s">
        <v>342</v>
      </c>
      <c r="G32" s="83"/>
      <c r="H32" s="77"/>
      <c r="I32" s="77"/>
      <c r="J32" s="112"/>
      <c r="K32" s="83"/>
      <c r="M32" s="77"/>
      <c r="N32" s="112"/>
      <c r="O32" s="83"/>
    </row>
    <row r="33" spans="1:15" ht="12">
      <c r="A33" s="75"/>
      <c r="B33" s="233"/>
      <c r="C33" s="83"/>
      <c r="D33" s="77"/>
      <c r="E33" s="77"/>
      <c r="F33" s="234" t="s">
        <v>343</v>
      </c>
      <c r="G33" s="83"/>
      <c r="H33" s="77"/>
      <c r="I33" s="77"/>
      <c r="J33" s="112"/>
      <c r="K33" s="83"/>
      <c r="M33" s="77"/>
      <c r="N33" s="112"/>
      <c r="O33" s="83"/>
    </row>
    <row r="34" spans="1:15" ht="12" customHeight="1">
      <c r="A34" s="75"/>
      <c r="B34" s="233"/>
      <c r="C34" s="83"/>
      <c r="D34" s="77"/>
      <c r="E34" s="77"/>
      <c r="F34" s="234" t="s">
        <v>344</v>
      </c>
      <c r="G34" s="83"/>
      <c r="H34" s="77"/>
      <c r="I34" s="77"/>
      <c r="J34" s="112"/>
      <c r="K34" s="83"/>
      <c r="M34" s="77"/>
      <c r="N34" s="112"/>
      <c r="O34" s="83"/>
    </row>
    <row r="35" spans="1:15" ht="12.75" thickBot="1">
      <c r="A35" s="75"/>
      <c r="B35" s="233"/>
      <c r="C35" s="83"/>
      <c r="D35" s="77"/>
      <c r="E35" s="77"/>
      <c r="F35" s="234" t="s">
        <v>345</v>
      </c>
      <c r="G35" s="83"/>
      <c r="H35" s="77"/>
      <c r="I35" s="77"/>
      <c r="J35" s="113"/>
      <c r="K35" s="85"/>
      <c r="M35" s="77"/>
      <c r="N35" s="112"/>
      <c r="O35" s="83"/>
    </row>
    <row r="36" spans="1:15" ht="12">
      <c r="A36" s="75"/>
      <c r="B36" s="233"/>
      <c r="C36" s="83"/>
      <c r="D36" s="77"/>
      <c r="E36" s="77"/>
      <c r="F36" s="234" t="s">
        <v>346</v>
      </c>
      <c r="G36" s="83"/>
      <c r="H36" s="77"/>
      <c r="I36" s="77"/>
      <c r="J36" s="109"/>
      <c r="K36" s="109"/>
      <c r="M36" s="77"/>
      <c r="N36" s="112"/>
      <c r="O36" s="83"/>
    </row>
    <row r="37" spans="1:15" ht="12">
      <c r="A37" s="75"/>
      <c r="B37" s="233"/>
      <c r="C37" s="83"/>
      <c r="D37" s="77"/>
      <c r="F37" s="234" t="s">
        <v>347</v>
      </c>
      <c r="G37" s="83"/>
      <c r="H37" s="77"/>
      <c r="I37" s="77"/>
      <c r="J37" s="109"/>
      <c r="K37" s="109"/>
      <c r="M37" s="77"/>
      <c r="N37" s="112"/>
      <c r="O37" s="83"/>
    </row>
    <row r="38" spans="1:15" ht="12.75" thickBot="1">
      <c r="A38" s="75"/>
      <c r="B38" s="233"/>
      <c r="C38" s="83"/>
      <c r="D38" s="77"/>
      <c r="F38" s="234" t="s">
        <v>348</v>
      </c>
      <c r="G38" s="83"/>
      <c r="H38" s="77"/>
      <c r="I38" s="77"/>
      <c r="J38" s="109"/>
      <c r="K38" s="109"/>
      <c r="M38" s="77"/>
      <c r="N38" s="113"/>
      <c r="O38" s="85"/>
    </row>
    <row r="39" spans="1:13" ht="12.75" thickBot="1">
      <c r="A39" s="75"/>
      <c r="B39" s="233"/>
      <c r="C39" s="85"/>
      <c r="D39" s="77"/>
      <c r="F39" s="234" t="s">
        <v>349</v>
      </c>
      <c r="G39" s="83"/>
      <c r="H39" s="77"/>
      <c r="I39" s="77"/>
      <c r="J39" s="109"/>
      <c r="K39" s="109"/>
      <c r="M39" s="77"/>
    </row>
    <row r="40" spans="1:13" ht="12.75" thickBot="1">
      <c r="A40" s="79" t="s">
        <v>200</v>
      </c>
      <c r="B40" s="80"/>
      <c r="C40" s="110"/>
      <c r="D40" s="77"/>
      <c r="F40" s="234" t="s">
        <v>350</v>
      </c>
      <c r="G40" s="83"/>
      <c r="H40" s="77"/>
      <c r="I40" s="77"/>
      <c r="J40" s="109"/>
      <c r="K40" s="109"/>
      <c r="M40" s="77"/>
    </row>
    <row r="41" spans="1:13" ht="12">
      <c r="A41" s="75"/>
      <c r="B41" s="111"/>
      <c r="C41" s="82"/>
      <c r="D41" s="77"/>
      <c r="F41" s="234" t="s">
        <v>351</v>
      </c>
      <c r="G41" s="83"/>
      <c r="I41" s="77"/>
      <c r="J41" s="109"/>
      <c r="K41" s="109"/>
      <c r="M41" s="77"/>
    </row>
    <row r="42" spans="1:13" ht="12">
      <c r="A42" s="75"/>
      <c r="B42" s="112"/>
      <c r="C42" s="83"/>
      <c r="D42" s="77"/>
      <c r="F42" s="234" t="s">
        <v>352</v>
      </c>
      <c r="G42" s="83"/>
      <c r="H42" s="77"/>
      <c r="I42" s="77"/>
      <c r="J42" s="109"/>
      <c r="K42" s="109"/>
      <c r="M42" s="77"/>
    </row>
    <row r="43" spans="1:13" ht="12">
      <c r="A43" s="75"/>
      <c r="B43" s="112"/>
      <c r="C43" s="83"/>
      <c r="D43" s="77"/>
      <c r="F43" s="234" t="s">
        <v>353</v>
      </c>
      <c r="G43" s="83"/>
      <c r="I43" s="77"/>
      <c r="J43" s="109"/>
      <c r="K43" s="109"/>
      <c r="M43" s="77"/>
    </row>
    <row r="44" spans="1:13" ht="12">
      <c r="A44" s="75"/>
      <c r="B44" s="112"/>
      <c r="C44" s="83"/>
      <c r="D44" s="77"/>
      <c r="F44" s="234" t="s">
        <v>354</v>
      </c>
      <c r="G44" s="83"/>
      <c r="H44" s="77"/>
      <c r="I44" s="77"/>
      <c r="J44" s="109"/>
      <c r="K44" s="109"/>
      <c r="M44" s="77"/>
    </row>
    <row r="45" spans="1:13" ht="12">
      <c r="A45" s="75"/>
      <c r="B45" s="112"/>
      <c r="C45" s="83"/>
      <c r="D45" s="77"/>
      <c r="E45" s="77"/>
      <c r="F45" s="234" t="s">
        <v>355</v>
      </c>
      <c r="G45" s="83"/>
      <c r="H45" s="77"/>
      <c r="I45" s="77"/>
      <c r="J45" s="109"/>
      <c r="K45" s="109"/>
      <c r="M45" s="77"/>
    </row>
    <row r="46" spans="1:13" ht="12">
      <c r="A46" s="75"/>
      <c r="B46" s="112"/>
      <c r="C46" s="83"/>
      <c r="D46" s="77"/>
      <c r="E46" s="77"/>
      <c r="F46" s="234" t="s">
        <v>356</v>
      </c>
      <c r="G46" s="83"/>
      <c r="H46" s="77"/>
      <c r="I46" s="77"/>
      <c r="J46" s="109"/>
      <c r="K46" s="109"/>
      <c r="L46" s="109"/>
      <c r="M46" s="77"/>
    </row>
    <row r="47" spans="1:13" ht="12">
      <c r="A47" s="75"/>
      <c r="B47" s="112"/>
      <c r="C47" s="83"/>
      <c r="D47" s="77"/>
      <c r="E47" s="77"/>
      <c r="F47" s="234" t="s">
        <v>357</v>
      </c>
      <c r="G47" s="83"/>
      <c r="H47" s="77"/>
      <c r="I47" s="77"/>
      <c r="J47" s="109"/>
      <c r="K47" s="109"/>
      <c r="L47" s="109"/>
      <c r="M47" s="77"/>
    </row>
    <row r="48" spans="1:13" ht="12">
      <c r="A48" s="75"/>
      <c r="B48" s="112"/>
      <c r="C48" s="83"/>
      <c r="D48" s="77"/>
      <c r="E48" s="77"/>
      <c r="F48" s="234" t="s">
        <v>358</v>
      </c>
      <c r="G48" s="83"/>
      <c r="H48" s="77"/>
      <c r="I48" s="77"/>
      <c r="J48" s="247"/>
      <c r="K48" s="247"/>
      <c r="L48" s="109"/>
      <c r="M48" s="77"/>
    </row>
    <row r="49" spans="1:13" ht="12">
      <c r="A49" s="75"/>
      <c r="B49" s="112"/>
      <c r="C49" s="83"/>
      <c r="D49" s="77"/>
      <c r="E49" s="77"/>
      <c r="F49" s="234" t="s">
        <v>359</v>
      </c>
      <c r="G49" s="83"/>
      <c r="H49" s="77"/>
      <c r="I49" s="77"/>
      <c r="J49" s="247"/>
      <c r="K49" s="247"/>
      <c r="L49" s="109"/>
      <c r="M49" s="77"/>
    </row>
    <row r="50" spans="1:13" ht="12.75" thickBot="1">
      <c r="A50" s="75"/>
      <c r="B50" s="113"/>
      <c r="C50" s="85"/>
      <c r="D50" s="77"/>
      <c r="E50" s="77"/>
      <c r="F50" s="234" t="s">
        <v>360</v>
      </c>
      <c r="G50" s="83"/>
      <c r="H50" s="77"/>
      <c r="I50" s="77"/>
      <c r="J50" s="247"/>
      <c r="K50" s="247"/>
      <c r="L50" s="109"/>
      <c r="M50" s="77"/>
    </row>
    <row r="51" spans="1:13" ht="12">
      <c r="A51" s="77"/>
      <c r="B51" s="247"/>
      <c r="C51" s="247"/>
      <c r="D51" s="77"/>
      <c r="E51" s="77"/>
      <c r="F51" s="234" t="s">
        <v>361</v>
      </c>
      <c r="G51" s="83"/>
      <c r="H51" s="77"/>
      <c r="I51" s="77"/>
      <c r="J51" s="109"/>
      <c r="K51" s="109"/>
      <c r="L51" s="109"/>
      <c r="M51" s="77"/>
    </row>
    <row r="52" spans="1:13" ht="12">
      <c r="A52" s="77"/>
      <c r="B52" s="247"/>
      <c r="C52" s="247"/>
      <c r="D52" s="77"/>
      <c r="E52" s="77"/>
      <c r="F52" s="234" t="s">
        <v>362</v>
      </c>
      <c r="G52" s="83"/>
      <c r="H52" s="77"/>
      <c r="I52" s="77"/>
      <c r="J52" s="247"/>
      <c r="K52" s="247"/>
      <c r="L52" s="109"/>
      <c r="M52" s="77"/>
    </row>
    <row r="53" spans="1:13" ht="12">
      <c r="A53" s="77"/>
      <c r="B53" s="247"/>
      <c r="C53" s="247"/>
      <c r="D53" s="77"/>
      <c r="E53" s="77"/>
      <c r="F53" s="234" t="s">
        <v>363</v>
      </c>
      <c r="G53" s="83"/>
      <c r="H53" s="77"/>
      <c r="I53" s="77"/>
      <c r="J53" s="247"/>
      <c r="K53" s="247"/>
      <c r="L53" s="109"/>
      <c r="M53" s="77"/>
    </row>
    <row r="54" spans="1:13" ht="12">
      <c r="A54" s="77"/>
      <c r="B54" s="109"/>
      <c r="C54" s="109"/>
      <c r="D54" s="77"/>
      <c r="E54" s="77"/>
      <c r="F54" s="234" t="s">
        <v>364</v>
      </c>
      <c r="G54" s="83"/>
      <c r="H54" s="77"/>
      <c r="I54" s="77"/>
      <c r="J54" s="109"/>
      <c r="K54" s="109"/>
      <c r="L54" s="109"/>
      <c r="M54" s="77"/>
    </row>
    <row r="55" spans="1:13" ht="12">
      <c r="A55" s="77"/>
      <c r="B55" s="109"/>
      <c r="C55" s="109"/>
      <c r="D55" s="77"/>
      <c r="E55" s="77"/>
      <c r="F55" s="234" t="s">
        <v>365</v>
      </c>
      <c r="G55" s="83"/>
      <c r="H55" s="77"/>
      <c r="I55" s="77"/>
      <c r="J55" s="109"/>
      <c r="K55" s="109"/>
      <c r="L55" s="109"/>
      <c r="M55" s="77"/>
    </row>
    <row r="56" spans="1:13" ht="12">
      <c r="A56" s="77"/>
      <c r="B56" s="109"/>
      <c r="C56" s="109"/>
      <c r="D56" s="77"/>
      <c r="E56" s="77"/>
      <c r="F56" s="234" t="s">
        <v>366</v>
      </c>
      <c r="G56" s="83"/>
      <c r="H56" s="77"/>
      <c r="I56" s="77"/>
      <c r="J56" s="109"/>
      <c r="K56" s="109"/>
      <c r="L56" s="109"/>
      <c r="M56" s="77"/>
    </row>
    <row r="57" spans="1:13" ht="12">
      <c r="A57" s="77"/>
      <c r="B57" s="109"/>
      <c r="C57" s="109"/>
      <c r="D57" s="77"/>
      <c r="E57" s="77"/>
      <c r="F57" s="234" t="s">
        <v>367</v>
      </c>
      <c r="G57" s="83"/>
      <c r="H57" s="77"/>
      <c r="I57" s="77"/>
      <c r="J57" s="109"/>
      <c r="K57" s="109"/>
      <c r="L57" s="109"/>
      <c r="M57" s="77"/>
    </row>
    <row r="58" spans="1:13" ht="12">
      <c r="A58" s="77"/>
      <c r="B58" s="109"/>
      <c r="C58" s="109"/>
      <c r="D58" s="77"/>
      <c r="E58" s="77"/>
      <c r="F58" s="234" t="s">
        <v>368</v>
      </c>
      <c r="G58" s="83"/>
      <c r="H58" s="77"/>
      <c r="I58" s="77"/>
      <c r="J58" s="109"/>
      <c r="K58" s="109"/>
      <c r="L58" s="109"/>
      <c r="M58" s="77"/>
    </row>
    <row r="59" spans="1:13" ht="12">
      <c r="A59" s="77"/>
      <c r="B59" s="109"/>
      <c r="C59" s="109"/>
      <c r="D59" s="77"/>
      <c r="E59" s="77"/>
      <c r="F59" s="234" t="s">
        <v>369</v>
      </c>
      <c r="G59" s="83"/>
      <c r="H59" s="77"/>
      <c r="I59" s="77"/>
      <c r="J59" s="109"/>
      <c r="K59" s="109"/>
      <c r="L59" s="109"/>
      <c r="M59" s="77"/>
    </row>
    <row r="60" spans="1:13" ht="12">
      <c r="A60" s="77"/>
      <c r="B60" s="109"/>
      <c r="C60" s="109"/>
      <c r="D60" s="77"/>
      <c r="E60" s="77"/>
      <c r="F60" s="234" t="s">
        <v>370</v>
      </c>
      <c r="G60" s="83"/>
      <c r="H60" s="78"/>
      <c r="I60" s="77"/>
      <c r="J60" s="109"/>
      <c r="K60" s="109"/>
      <c r="L60" s="109"/>
      <c r="M60" s="77"/>
    </row>
    <row r="61" spans="1:13" ht="12">
      <c r="A61" s="77"/>
      <c r="B61" s="109"/>
      <c r="C61" s="109"/>
      <c r="D61" s="77"/>
      <c r="E61" s="77"/>
      <c r="F61" s="234" t="s">
        <v>371</v>
      </c>
      <c r="G61" s="83"/>
      <c r="H61" s="78"/>
      <c r="I61" s="77"/>
      <c r="J61" s="109"/>
      <c r="K61" s="109"/>
      <c r="L61" s="109"/>
      <c r="M61" s="77"/>
    </row>
    <row r="62" spans="1:13" ht="12">
      <c r="A62" s="77"/>
      <c r="B62" s="109"/>
      <c r="C62" s="109"/>
      <c r="D62" s="77"/>
      <c r="E62" s="77"/>
      <c r="F62" s="234" t="s">
        <v>372</v>
      </c>
      <c r="G62" s="83"/>
      <c r="H62" s="78"/>
      <c r="I62" s="77"/>
      <c r="J62" s="109"/>
      <c r="K62" s="109"/>
      <c r="L62" s="247"/>
      <c r="M62" s="77"/>
    </row>
    <row r="63" spans="1:13" ht="12">
      <c r="A63" s="77"/>
      <c r="B63" s="109"/>
      <c r="C63" s="109"/>
      <c r="D63" s="77"/>
      <c r="E63" s="77"/>
      <c r="F63" s="234" t="s">
        <v>373</v>
      </c>
      <c r="G63" s="83"/>
      <c r="H63" s="77"/>
      <c r="I63" s="77"/>
      <c r="J63" s="109"/>
      <c r="K63" s="109"/>
      <c r="L63" s="247"/>
      <c r="M63" s="77"/>
    </row>
    <row r="64" spans="1:13" ht="12">
      <c r="A64" s="77"/>
      <c r="B64" s="109"/>
      <c r="C64" s="109"/>
      <c r="D64" s="77"/>
      <c r="E64" s="77"/>
      <c r="F64" s="234" t="s">
        <v>374</v>
      </c>
      <c r="G64" s="83"/>
      <c r="H64" s="77"/>
      <c r="I64" s="77"/>
      <c r="J64" s="109"/>
      <c r="K64" s="109"/>
      <c r="L64" s="247"/>
      <c r="M64" s="77"/>
    </row>
    <row r="65" spans="1:13" ht="12">
      <c r="A65" s="77"/>
      <c r="B65" s="109"/>
      <c r="C65" s="109"/>
      <c r="D65" s="77"/>
      <c r="F65" s="234" t="s">
        <v>375</v>
      </c>
      <c r="G65" s="83"/>
      <c r="H65" s="77"/>
      <c r="I65" s="77"/>
      <c r="J65" s="109"/>
      <c r="K65" s="109"/>
      <c r="L65" s="109"/>
      <c r="M65" s="77"/>
    </row>
    <row r="66" spans="1:13" ht="12">
      <c r="A66" s="77"/>
      <c r="B66" s="109"/>
      <c r="C66" s="109"/>
      <c r="D66" s="77"/>
      <c r="E66" s="77"/>
      <c r="F66" s="270" t="s">
        <v>376</v>
      </c>
      <c r="G66" s="83"/>
      <c r="H66" s="77"/>
      <c r="I66" s="77"/>
      <c r="J66" s="109"/>
      <c r="K66" s="109"/>
      <c r="L66" s="247"/>
      <c r="M66" s="77"/>
    </row>
    <row r="67" spans="1:13" ht="12">
      <c r="A67" s="77"/>
      <c r="B67" s="109"/>
      <c r="C67" s="109"/>
      <c r="D67" s="77"/>
      <c r="E67" s="77"/>
      <c r="F67" s="270" t="s">
        <v>377</v>
      </c>
      <c r="G67" s="83"/>
      <c r="H67" s="77"/>
      <c r="I67" s="77"/>
      <c r="J67" s="109"/>
      <c r="K67" s="109"/>
      <c r="L67" s="247"/>
      <c r="M67" s="77"/>
    </row>
    <row r="68" spans="1:13" ht="12">
      <c r="A68" s="77"/>
      <c r="B68" s="109"/>
      <c r="C68" s="109"/>
      <c r="D68" s="77"/>
      <c r="E68" s="77"/>
      <c r="F68" s="270" t="s">
        <v>378</v>
      </c>
      <c r="G68" s="83"/>
      <c r="H68" s="77"/>
      <c r="I68" s="77"/>
      <c r="J68" s="109"/>
      <c r="K68" s="109"/>
      <c r="L68" s="109"/>
      <c r="M68" s="77"/>
    </row>
    <row r="69" spans="1:13" ht="12">
      <c r="A69" s="77"/>
      <c r="B69" s="109"/>
      <c r="C69" s="109"/>
      <c r="D69" s="77"/>
      <c r="E69" s="77"/>
      <c r="F69" s="270" t="s">
        <v>379</v>
      </c>
      <c r="G69" s="83"/>
      <c r="H69" s="77"/>
      <c r="I69" s="77"/>
      <c r="J69" s="109"/>
      <c r="K69" s="109"/>
      <c r="L69" s="109"/>
      <c r="M69" s="77"/>
    </row>
    <row r="70" spans="1:13" ht="12">
      <c r="A70" s="77"/>
      <c r="B70" s="109"/>
      <c r="C70" s="109"/>
      <c r="D70" s="77"/>
      <c r="E70" s="77"/>
      <c r="F70" s="270" t="s">
        <v>380</v>
      </c>
      <c r="G70" s="83"/>
      <c r="H70" s="77"/>
      <c r="I70" s="77"/>
      <c r="J70" s="109"/>
      <c r="K70" s="109"/>
      <c r="L70" s="109"/>
      <c r="M70" s="77"/>
    </row>
    <row r="71" spans="1:13" ht="12">
      <c r="A71" s="77"/>
      <c r="B71" s="109"/>
      <c r="C71" s="109"/>
      <c r="D71" s="77"/>
      <c r="E71" s="77"/>
      <c r="F71" s="270" t="s">
        <v>381</v>
      </c>
      <c r="G71" s="83"/>
      <c r="H71" s="77"/>
      <c r="I71" s="77"/>
      <c r="J71" s="109"/>
      <c r="K71" s="109"/>
      <c r="L71" s="109"/>
      <c r="M71" s="77"/>
    </row>
    <row r="72" spans="1:13" ht="12">
      <c r="A72" s="77"/>
      <c r="B72" s="109"/>
      <c r="C72" s="109"/>
      <c r="D72" s="77"/>
      <c r="F72" s="270" t="s">
        <v>382</v>
      </c>
      <c r="G72" s="83"/>
      <c r="H72" s="77"/>
      <c r="I72" s="77"/>
      <c r="J72" s="109"/>
      <c r="K72" s="109"/>
      <c r="L72" s="109"/>
      <c r="M72" s="77"/>
    </row>
    <row r="73" spans="1:13" ht="12">
      <c r="A73" s="77"/>
      <c r="B73" s="109"/>
      <c r="C73" s="109"/>
      <c r="D73" s="77"/>
      <c r="E73" s="77"/>
      <c r="F73" s="270" t="s">
        <v>383</v>
      </c>
      <c r="G73" s="83"/>
      <c r="H73" s="77"/>
      <c r="I73" s="77"/>
      <c r="J73" s="109"/>
      <c r="K73" s="109"/>
      <c r="L73" s="109"/>
      <c r="M73" s="77"/>
    </row>
    <row r="74" spans="1:13" ht="12">
      <c r="A74" s="77"/>
      <c r="B74" s="109"/>
      <c r="C74" s="109"/>
      <c r="D74" s="77"/>
      <c r="E74" s="77"/>
      <c r="F74" s="270" t="s">
        <v>384</v>
      </c>
      <c r="G74" s="83"/>
      <c r="H74" s="77"/>
      <c r="I74" s="77"/>
      <c r="J74" s="109"/>
      <c r="K74" s="109"/>
      <c r="L74" s="109"/>
      <c r="M74" s="77"/>
    </row>
    <row r="75" spans="1:14" ht="12">
      <c r="A75" s="77"/>
      <c r="B75" s="109"/>
      <c r="C75" s="109"/>
      <c r="D75" s="77"/>
      <c r="E75" s="77"/>
      <c r="F75" s="109"/>
      <c r="G75" s="109"/>
      <c r="H75" s="77"/>
      <c r="I75" s="77"/>
      <c r="J75" s="109"/>
      <c r="K75" s="109"/>
      <c r="L75" s="109"/>
      <c r="M75" s="77"/>
      <c r="N75" s="77"/>
    </row>
    <row r="76" spans="1:14" ht="12" customHeight="1" thickBot="1">
      <c r="A76" s="77"/>
      <c r="B76" s="109"/>
      <c r="C76" s="109"/>
      <c r="D76" s="77"/>
      <c r="E76" s="79" t="s">
        <v>200</v>
      </c>
      <c r="F76" s="80"/>
      <c r="G76" s="110"/>
      <c r="H76" s="77"/>
      <c r="I76" s="77"/>
      <c r="J76" s="109"/>
      <c r="K76" s="109"/>
      <c r="L76" s="109"/>
      <c r="M76" s="77"/>
      <c r="N76" s="77"/>
    </row>
    <row r="77" spans="1:14" ht="12">
      <c r="A77" s="77"/>
      <c r="B77" s="109"/>
      <c r="C77" s="109"/>
      <c r="D77" s="77"/>
      <c r="E77" s="109"/>
      <c r="F77" s="111"/>
      <c r="G77" s="82"/>
      <c r="H77" s="77"/>
      <c r="I77" s="77"/>
      <c r="J77" s="109"/>
      <c r="K77" s="109"/>
      <c r="L77" s="109"/>
      <c r="M77" s="77"/>
      <c r="N77" s="77"/>
    </row>
    <row r="78" spans="1:13" ht="12">
      <c r="A78" s="77"/>
      <c r="B78" s="109"/>
      <c r="C78" s="109"/>
      <c r="D78" s="77"/>
      <c r="E78" s="77"/>
      <c r="F78" s="112"/>
      <c r="G78" s="83"/>
      <c r="H78" s="77"/>
      <c r="I78" s="77"/>
      <c r="J78" s="109"/>
      <c r="K78" s="109"/>
      <c r="L78" s="109"/>
      <c r="M78" s="77"/>
    </row>
    <row r="79" spans="1:13" ht="12">
      <c r="A79" s="77"/>
      <c r="B79" s="109"/>
      <c r="C79" s="109"/>
      <c r="D79" s="77"/>
      <c r="E79" s="77"/>
      <c r="F79" s="112"/>
      <c r="G79" s="83"/>
      <c r="H79" s="77"/>
      <c r="I79" s="77"/>
      <c r="J79" s="109"/>
      <c r="K79" s="109"/>
      <c r="L79" s="109"/>
      <c r="M79" s="77"/>
    </row>
    <row r="80" spans="1:13" ht="12">
      <c r="A80" s="77"/>
      <c r="B80" s="109"/>
      <c r="C80" s="109"/>
      <c r="D80" s="77"/>
      <c r="E80" s="77"/>
      <c r="F80" s="112"/>
      <c r="G80" s="83"/>
      <c r="H80" s="77"/>
      <c r="I80" s="77"/>
      <c r="J80" s="109"/>
      <c r="K80" s="109"/>
      <c r="L80" s="109"/>
      <c r="M80" s="77"/>
    </row>
    <row r="81" spans="1:13" ht="12">
      <c r="A81" s="77"/>
      <c r="B81" s="109"/>
      <c r="C81" s="109"/>
      <c r="D81" s="77"/>
      <c r="E81" s="77"/>
      <c r="F81" s="112"/>
      <c r="G81" s="83"/>
      <c r="H81" s="77"/>
      <c r="I81" s="77"/>
      <c r="J81" s="109"/>
      <c r="K81" s="109"/>
      <c r="L81" s="109"/>
      <c r="M81" s="77"/>
    </row>
    <row r="82" spans="1:13" ht="12">
      <c r="A82" s="77"/>
      <c r="B82" s="109"/>
      <c r="C82" s="109"/>
      <c r="D82" s="77"/>
      <c r="E82" s="77"/>
      <c r="F82" s="112"/>
      <c r="G82" s="83"/>
      <c r="H82" s="77"/>
      <c r="I82" s="77"/>
      <c r="J82" s="109"/>
      <c r="K82" s="109"/>
      <c r="L82" s="109"/>
      <c r="M82" s="77"/>
    </row>
    <row r="83" spans="1:13" ht="12">
      <c r="A83" s="77"/>
      <c r="B83" s="109"/>
      <c r="C83" s="109"/>
      <c r="D83" s="77"/>
      <c r="E83" s="77"/>
      <c r="F83" s="112"/>
      <c r="G83" s="83"/>
      <c r="H83" s="77"/>
      <c r="I83" s="77"/>
      <c r="J83" s="109"/>
      <c r="K83" s="109"/>
      <c r="L83" s="109"/>
      <c r="M83" s="77"/>
    </row>
    <row r="84" spans="1:13" ht="12">
      <c r="A84" s="77"/>
      <c r="B84" s="109"/>
      <c r="C84" s="109"/>
      <c r="D84" s="77"/>
      <c r="E84" s="77"/>
      <c r="F84" s="112"/>
      <c r="G84" s="83"/>
      <c r="H84" s="77"/>
      <c r="I84" s="77"/>
      <c r="J84" s="109"/>
      <c r="K84" s="109"/>
      <c r="L84" s="109"/>
      <c r="M84" s="77"/>
    </row>
    <row r="85" spans="1:13" ht="12">
      <c r="A85" s="77"/>
      <c r="B85" s="109"/>
      <c r="C85" s="109"/>
      <c r="D85" s="77"/>
      <c r="E85" s="77"/>
      <c r="F85" s="112"/>
      <c r="G85" s="83"/>
      <c r="H85" s="77"/>
      <c r="I85" s="77"/>
      <c r="J85" s="109"/>
      <c r="K85" s="109"/>
      <c r="L85" s="109"/>
      <c r="M85" s="77"/>
    </row>
    <row r="86" spans="1:13" ht="12.75" thickBot="1">
      <c r="A86" s="77"/>
      <c r="B86" s="109"/>
      <c r="C86" s="109"/>
      <c r="D86" s="77"/>
      <c r="F86" s="113"/>
      <c r="G86" s="85"/>
      <c r="H86" s="77"/>
      <c r="I86" s="77"/>
      <c r="J86" s="109"/>
      <c r="K86" s="109"/>
      <c r="L86" s="109"/>
      <c r="M86" s="77"/>
    </row>
    <row r="87" spans="1:13" ht="12">
      <c r="A87" s="77"/>
      <c r="B87" s="109"/>
      <c r="C87" s="109"/>
      <c r="D87" s="77"/>
      <c r="E87" s="77"/>
      <c r="F87" s="109"/>
      <c r="G87" s="109"/>
      <c r="H87" s="77"/>
      <c r="I87" s="77"/>
      <c r="J87" s="109"/>
      <c r="K87" s="109"/>
      <c r="L87" s="109"/>
      <c r="M87" s="77"/>
    </row>
    <row r="88" spans="1:13" ht="12">
      <c r="A88" s="77"/>
      <c r="B88" s="109"/>
      <c r="C88" s="109"/>
      <c r="D88" s="77"/>
      <c r="E88" s="77"/>
      <c r="F88" s="109"/>
      <c r="G88" s="109"/>
      <c r="H88" s="77"/>
      <c r="I88" s="77"/>
      <c r="J88" s="109"/>
      <c r="K88" s="109"/>
      <c r="L88" s="109"/>
      <c r="M88" s="77"/>
    </row>
    <row r="89" spans="1:13" ht="12">
      <c r="A89" s="77"/>
      <c r="B89" s="109"/>
      <c r="C89" s="109"/>
      <c r="D89" s="77"/>
      <c r="E89" s="77"/>
      <c r="F89" s="109"/>
      <c r="G89" s="109"/>
      <c r="H89" s="77"/>
      <c r="I89" s="77"/>
      <c r="J89" s="109"/>
      <c r="K89" s="109"/>
      <c r="L89" s="109"/>
      <c r="M89" s="77"/>
    </row>
    <row r="90" spans="1:13" ht="12">
      <c r="A90" s="77"/>
      <c r="B90" s="109"/>
      <c r="C90" s="109"/>
      <c r="D90" s="77"/>
      <c r="E90" s="77"/>
      <c r="F90" s="109"/>
      <c r="G90" s="109"/>
      <c r="H90" s="77"/>
      <c r="I90" s="77"/>
      <c r="J90" s="77"/>
      <c r="K90" s="77"/>
      <c r="L90" s="109"/>
      <c r="M90" s="77"/>
    </row>
    <row r="91" spans="1:13" ht="12">
      <c r="A91" s="77"/>
      <c r="B91" s="109"/>
      <c r="C91" s="109"/>
      <c r="D91" s="77"/>
      <c r="E91" s="77"/>
      <c r="F91" s="109"/>
      <c r="G91" s="109"/>
      <c r="H91" s="77"/>
      <c r="I91" s="77"/>
      <c r="J91" s="77"/>
      <c r="K91" s="77"/>
      <c r="L91" s="109"/>
      <c r="M91" s="77"/>
    </row>
    <row r="92" spans="1:13" ht="12">
      <c r="A92" s="77"/>
      <c r="B92" s="109"/>
      <c r="C92" s="109"/>
      <c r="D92" s="77"/>
      <c r="E92" s="77"/>
      <c r="F92" s="109"/>
      <c r="G92" s="109"/>
      <c r="H92" s="77"/>
      <c r="I92" s="77"/>
      <c r="J92" s="77"/>
      <c r="K92" s="77"/>
      <c r="L92" s="109"/>
      <c r="M92" s="77"/>
    </row>
    <row r="93" spans="1:13" ht="12">
      <c r="A93" s="77"/>
      <c r="B93" s="109"/>
      <c r="C93" s="109"/>
      <c r="D93" s="77"/>
      <c r="E93" s="77"/>
      <c r="F93" s="109"/>
      <c r="G93" s="109"/>
      <c r="H93" s="77"/>
      <c r="I93" s="77"/>
      <c r="J93" s="77"/>
      <c r="K93" s="77"/>
      <c r="L93" s="109"/>
      <c r="M93" s="77"/>
    </row>
    <row r="94" spans="1:13" ht="12">
      <c r="A94" s="77"/>
      <c r="B94" s="109"/>
      <c r="C94" s="109"/>
      <c r="D94" s="77"/>
      <c r="E94" s="77"/>
      <c r="F94" s="109"/>
      <c r="G94" s="109"/>
      <c r="H94" s="77"/>
      <c r="I94" s="77"/>
      <c r="J94" s="77"/>
      <c r="K94" s="77"/>
      <c r="L94" s="109"/>
      <c r="M94" s="77"/>
    </row>
    <row r="95" spans="1:13" ht="12">
      <c r="A95" s="77"/>
      <c r="B95" s="109"/>
      <c r="C95" s="109"/>
      <c r="D95" s="77"/>
      <c r="E95" s="77"/>
      <c r="F95" s="109"/>
      <c r="G95" s="109"/>
      <c r="H95" s="77"/>
      <c r="I95" s="77"/>
      <c r="J95" s="77"/>
      <c r="K95" s="77"/>
      <c r="L95" s="109"/>
      <c r="M95" s="77"/>
    </row>
    <row r="96" spans="1:13" ht="12">
      <c r="A96" s="77"/>
      <c r="B96" s="109"/>
      <c r="C96" s="109"/>
      <c r="D96" s="77"/>
      <c r="E96" s="77"/>
      <c r="F96" s="109"/>
      <c r="G96" s="109"/>
      <c r="H96" s="77"/>
      <c r="I96" s="77"/>
      <c r="J96" s="77"/>
      <c r="K96" s="77"/>
      <c r="L96" s="109"/>
      <c r="M96" s="77"/>
    </row>
    <row r="97" spans="1:13" ht="12">
      <c r="A97" s="77"/>
      <c r="B97" s="109"/>
      <c r="C97" s="109"/>
      <c r="D97" s="77"/>
      <c r="E97" s="77"/>
      <c r="F97" s="109"/>
      <c r="G97" s="109"/>
      <c r="H97" s="77"/>
      <c r="I97" s="77"/>
      <c r="J97" s="77"/>
      <c r="K97" s="77"/>
      <c r="L97" s="109"/>
      <c r="M97" s="77"/>
    </row>
    <row r="98" spans="1:13" ht="12">
      <c r="A98" s="77"/>
      <c r="B98" s="109"/>
      <c r="C98" s="109"/>
      <c r="D98" s="77"/>
      <c r="E98" s="77"/>
      <c r="F98" s="109"/>
      <c r="G98" s="109"/>
      <c r="H98" s="77"/>
      <c r="I98" s="77"/>
      <c r="J98" s="77"/>
      <c r="K98" s="77"/>
      <c r="L98" s="109"/>
      <c r="M98" s="77"/>
    </row>
    <row r="99" spans="1:13" ht="12">
      <c r="A99" s="77"/>
      <c r="B99" s="109"/>
      <c r="C99" s="109"/>
      <c r="D99" s="77"/>
      <c r="E99" s="77"/>
      <c r="F99" s="109"/>
      <c r="G99" s="109"/>
      <c r="H99" s="77"/>
      <c r="I99" s="77"/>
      <c r="J99" s="77"/>
      <c r="K99" s="77"/>
      <c r="L99" s="109"/>
      <c r="M99" s="77"/>
    </row>
    <row r="100" spans="1:13" ht="12">
      <c r="A100" s="77"/>
      <c r="B100" s="109"/>
      <c r="C100" s="109"/>
      <c r="D100" s="77"/>
      <c r="E100" s="77"/>
      <c r="F100" s="109"/>
      <c r="G100" s="109"/>
      <c r="H100" s="77"/>
      <c r="I100" s="77"/>
      <c r="J100" s="77"/>
      <c r="K100" s="77"/>
      <c r="L100" s="109"/>
      <c r="M100" s="77"/>
    </row>
    <row r="101" spans="1:13" ht="12">
      <c r="A101" s="77"/>
      <c r="B101" s="109"/>
      <c r="C101" s="109"/>
      <c r="D101" s="77"/>
      <c r="E101" s="77"/>
      <c r="F101" s="109"/>
      <c r="G101" s="109"/>
      <c r="H101" s="77"/>
      <c r="I101" s="77"/>
      <c r="J101" s="77"/>
      <c r="K101" s="77"/>
      <c r="L101" s="109"/>
      <c r="M101" s="77"/>
    </row>
    <row r="102" spans="1:13" ht="12">
      <c r="A102" s="77"/>
      <c r="B102" s="109"/>
      <c r="C102" s="109"/>
      <c r="D102" s="77"/>
      <c r="E102" s="77"/>
      <c r="F102" s="109"/>
      <c r="G102" s="109"/>
      <c r="H102" s="77"/>
      <c r="I102" s="77"/>
      <c r="J102" s="77"/>
      <c r="K102" s="77"/>
      <c r="L102" s="109"/>
      <c r="M102" s="77"/>
    </row>
    <row r="103" spans="1:14" ht="12">
      <c r="A103" s="77"/>
      <c r="D103" s="77"/>
      <c r="E103" s="77"/>
      <c r="F103" s="77"/>
      <c r="G103" s="77"/>
      <c r="H103" s="77"/>
      <c r="I103" s="77"/>
      <c r="J103" s="77"/>
      <c r="K103" s="77"/>
      <c r="L103" s="77"/>
      <c r="M103" s="77"/>
      <c r="N103" s="77"/>
    </row>
    <row r="104" spans="4:14" ht="12" customHeight="1">
      <c r="D104" s="77"/>
      <c r="E104" s="77"/>
      <c r="F104" s="77"/>
      <c r="G104" s="77"/>
      <c r="H104" s="77"/>
      <c r="I104" s="77"/>
      <c r="J104" s="77"/>
      <c r="K104" s="77"/>
      <c r="L104" s="77"/>
      <c r="M104" s="77"/>
      <c r="N104" s="77"/>
    </row>
    <row r="105" spans="4:14" ht="12">
      <c r="D105" s="77"/>
      <c r="E105" s="77"/>
      <c r="F105" s="77"/>
      <c r="G105" s="77"/>
      <c r="H105" s="77"/>
      <c r="I105" s="77"/>
      <c r="J105" s="77"/>
      <c r="K105" s="77"/>
      <c r="L105" s="77"/>
      <c r="M105" s="77"/>
      <c r="N105" s="77"/>
    </row>
    <row r="106" spans="4:14" ht="12">
      <c r="D106" s="77"/>
      <c r="E106" s="77"/>
      <c r="F106" s="77"/>
      <c r="G106" s="77"/>
      <c r="H106" s="77"/>
      <c r="I106" s="77"/>
      <c r="J106" s="77"/>
      <c r="K106" s="77"/>
      <c r="L106" s="77"/>
      <c r="M106" s="77"/>
      <c r="N106" s="77"/>
    </row>
    <row r="107" spans="4:14" ht="12">
      <c r="D107" s="77"/>
      <c r="E107" s="77"/>
      <c r="F107" s="77"/>
      <c r="G107" s="77"/>
      <c r="H107" s="77"/>
      <c r="I107" s="77"/>
      <c r="J107" s="77"/>
      <c r="K107" s="77"/>
      <c r="L107" s="77"/>
      <c r="M107" s="77"/>
      <c r="N107" s="77"/>
    </row>
    <row r="108" spans="4:14" ht="12">
      <c r="D108" s="77"/>
      <c r="E108" s="77"/>
      <c r="F108" s="77"/>
      <c r="G108" s="77"/>
      <c r="H108" s="77"/>
      <c r="I108" s="77"/>
      <c r="J108" s="77"/>
      <c r="K108" s="77"/>
      <c r="L108" s="77"/>
      <c r="M108" s="77"/>
      <c r="N108" s="77"/>
    </row>
    <row r="109" spans="4:14" ht="12">
      <c r="D109" s="77"/>
      <c r="E109" s="77"/>
      <c r="F109" s="77"/>
      <c r="G109" s="77"/>
      <c r="H109" s="77"/>
      <c r="I109" s="77"/>
      <c r="J109" s="77"/>
      <c r="K109" s="77"/>
      <c r="L109" s="77"/>
      <c r="M109" s="77"/>
      <c r="N109" s="77"/>
    </row>
    <row r="110" spans="4:14" ht="12">
      <c r="D110" s="77"/>
      <c r="E110" s="77"/>
      <c r="F110" s="77"/>
      <c r="G110" s="77"/>
      <c r="H110" s="77"/>
      <c r="I110" s="77"/>
      <c r="J110" s="77"/>
      <c r="K110" s="77"/>
      <c r="L110" s="77"/>
      <c r="M110" s="77"/>
      <c r="N110" s="77"/>
    </row>
    <row r="111" spans="4:14" ht="12">
      <c r="D111" s="77"/>
      <c r="E111" s="77"/>
      <c r="F111" s="77"/>
      <c r="G111" s="77"/>
      <c r="H111" s="77"/>
      <c r="I111" s="77"/>
      <c r="J111" s="77"/>
      <c r="K111" s="77"/>
      <c r="L111" s="77"/>
      <c r="M111" s="77"/>
      <c r="N111" s="77"/>
    </row>
    <row r="112" spans="4:14" ht="12">
      <c r="D112" s="77"/>
      <c r="E112" s="77"/>
      <c r="F112" s="77"/>
      <c r="G112" s="77"/>
      <c r="H112" s="77"/>
      <c r="I112" s="77"/>
      <c r="J112" s="77"/>
      <c r="K112" s="77"/>
      <c r="L112" s="77"/>
      <c r="M112" s="77"/>
      <c r="N112" s="77"/>
    </row>
    <row r="113" spans="4:14" ht="12">
      <c r="D113" s="77"/>
      <c r="E113" s="77"/>
      <c r="F113" s="77"/>
      <c r="G113" s="77"/>
      <c r="H113" s="77"/>
      <c r="I113" s="77"/>
      <c r="J113" s="77"/>
      <c r="K113" s="77"/>
      <c r="L113" s="77"/>
      <c r="M113" s="77"/>
      <c r="N113" s="77"/>
    </row>
    <row r="114" spans="4:14" ht="12">
      <c r="D114" s="77"/>
      <c r="E114" s="77"/>
      <c r="F114" s="77"/>
      <c r="G114" s="77"/>
      <c r="H114" s="77"/>
      <c r="I114" s="77"/>
      <c r="J114" s="77"/>
      <c r="K114" s="77"/>
      <c r="L114" s="77"/>
      <c r="M114" s="77"/>
      <c r="N114" s="77"/>
    </row>
    <row r="115" spans="4:14" ht="12">
      <c r="D115" s="77"/>
      <c r="E115" s="77"/>
      <c r="F115" s="77"/>
      <c r="G115" s="77"/>
      <c r="H115" s="77"/>
      <c r="I115" s="77"/>
      <c r="J115" s="77"/>
      <c r="K115" s="77"/>
      <c r="L115" s="77"/>
      <c r="M115" s="77"/>
      <c r="N115" s="77"/>
    </row>
    <row r="116" spans="4:14" ht="12">
      <c r="D116" s="77"/>
      <c r="E116" s="77"/>
      <c r="F116" s="77"/>
      <c r="G116" s="77"/>
      <c r="H116" s="77"/>
      <c r="I116" s="77"/>
      <c r="J116" s="77"/>
      <c r="K116" s="77"/>
      <c r="L116" s="77"/>
      <c r="M116" s="77"/>
      <c r="N116" s="77"/>
    </row>
    <row r="117" spans="6:12" ht="12">
      <c r="F117" s="77"/>
      <c r="G117" s="77"/>
      <c r="H117" s="77"/>
      <c r="I117" s="77"/>
      <c r="J117" s="77"/>
      <c r="K117" s="77"/>
      <c r="L117" s="77"/>
    </row>
    <row r="118" spans="6:12" ht="12">
      <c r="F118" s="77"/>
      <c r="G118" s="77"/>
      <c r="H118" s="77"/>
      <c r="I118" s="77"/>
      <c r="J118" s="77"/>
      <c r="K118" s="77"/>
      <c r="L118" s="77"/>
    </row>
    <row r="119" spans="6:12" ht="12">
      <c r="F119" s="77"/>
      <c r="G119" s="77"/>
      <c r="H119" s="77"/>
      <c r="I119" s="77"/>
      <c r="J119" s="77"/>
      <c r="K119" s="77"/>
      <c r="L119" s="77"/>
    </row>
    <row r="120" spans="6:12" ht="12">
      <c r="F120" s="77"/>
      <c r="G120" s="77"/>
      <c r="H120" s="77"/>
      <c r="I120" s="77"/>
      <c r="J120" s="77"/>
      <c r="K120" s="77"/>
      <c r="L120" s="77"/>
    </row>
    <row r="121" spans="6:12" ht="12">
      <c r="F121" s="77"/>
      <c r="G121" s="77"/>
      <c r="H121" s="77"/>
      <c r="I121" s="77"/>
      <c r="J121" s="77"/>
      <c r="K121" s="77"/>
      <c r="L121" s="77"/>
    </row>
    <row r="122" spans="6:12" ht="12">
      <c r="F122" s="77"/>
      <c r="G122" s="77"/>
      <c r="H122" s="77"/>
      <c r="I122" s="77"/>
      <c r="J122" s="77"/>
      <c r="K122" s="77"/>
      <c r="L122" s="77"/>
    </row>
    <row r="123" spans="6:12" ht="12">
      <c r="F123" s="77"/>
      <c r="G123" s="77"/>
      <c r="H123" s="77"/>
      <c r="I123" s="77"/>
      <c r="J123" s="77"/>
      <c r="K123" s="77"/>
      <c r="L123" s="77"/>
    </row>
    <row r="124" spans="6:12" ht="12">
      <c r="F124" s="77"/>
      <c r="G124" s="77"/>
      <c r="H124" s="77"/>
      <c r="I124" s="77"/>
      <c r="J124" s="77"/>
      <c r="K124" s="77"/>
      <c r="L124" s="77"/>
    </row>
    <row r="125" spans="6:12" ht="12">
      <c r="F125" s="77"/>
      <c r="G125" s="77"/>
      <c r="H125" s="77"/>
      <c r="I125" s="77"/>
      <c r="J125" s="77"/>
      <c r="K125" s="77"/>
      <c r="L125" s="77"/>
    </row>
    <row r="126" spans="6:12" ht="12">
      <c r="F126" s="77"/>
      <c r="G126" s="77"/>
      <c r="H126" s="77"/>
      <c r="I126" s="77"/>
      <c r="J126" s="77"/>
      <c r="K126" s="77"/>
      <c r="L126" s="77"/>
    </row>
    <row r="127" spans="6:12" ht="12">
      <c r="F127" s="77"/>
      <c r="G127" s="77"/>
      <c r="H127" s="77"/>
      <c r="I127" s="77"/>
      <c r="J127" s="77"/>
      <c r="K127" s="77"/>
      <c r="L127" s="77"/>
    </row>
    <row r="128" spans="6:12" ht="12">
      <c r="F128" s="77"/>
      <c r="G128" s="77"/>
      <c r="H128" s="77"/>
      <c r="I128" s="77"/>
      <c r="J128" s="77"/>
      <c r="K128" s="77"/>
      <c r="L128" s="77"/>
    </row>
    <row r="129" spans="6:12" ht="12">
      <c r="F129" s="77"/>
      <c r="G129" s="77"/>
      <c r="H129" s="77"/>
      <c r="I129" s="77"/>
      <c r="J129" s="77"/>
      <c r="K129" s="77"/>
      <c r="L129" s="77"/>
    </row>
    <row r="130" spans="6:12" ht="12">
      <c r="F130" s="77"/>
      <c r="G130" s="77"/>
      <c r="H130" s="77"/>
      <c r="I130" s="77"/>
      <c r="J130" s="77"/>
      <c r="K130" s="77"/>
      <c r="L130" s="77"/>
    </row>
    <row r="131" spans="6:12" ht="12">
      <c r="F131" s="77"/>
      <c r="G131" s="77"/>
      <c r="H131" s="77"/>
      <c r="I131" s="77"/>
      <c r="J131" s="77"/>
      <c r="K131" s="77"/>
      <c r="L131" s="77"/>
    </row>
    <row r="132" spans="6:12" ht="12">
      <c r="F132" s="77"/>
      <c r="G132" s="77"/>
      <c r="H132" s="77"/>
      <c r="I132" s="77"/>
      <c r="J132" s="77"/>
      <c r="K132" s="77"/>
      <c r="L132" s="77"/>
    </row>
    <row r="133" spans="6:12" ht="12">
      <c r="F133" s="77"/>
      <c r="G133" s="77"/>
      <c r="H133" s="77"/>
      <c r="I133" s="77"/>
      <c r="J133" s="77"/>
      <c r="K133" s="77"/>
      <c r="L133" s="77"/>
    </row>
    <row r="134" spans="6:12" ht="12">
      <c r="F134" s="77"/>
      <c r="G134" s="77"/>
      <c r="H134" s="77"/>
      <c r="I134" s="77"/>
      <c r="J134" s="77"/>
      <c r="K134" s="77"/>
      <c r="L134" s="77"/>
    </row>
    <row r="135" spans="6:12" ht="12">
      <c r="F135" s="77"/>
      <c r="G135" s="77"/>
      <c r="H135" s="77"/>
      <c r="J135" s="77"/>
      <c r="L135" s="77"/>
    </row>
    <row r="136" spans="6:12" ht="12">
      <c r="F136" s="77"/>
      <c r="G136" s="77"/>
      <c r="H136" s="77"/>
      <c r="L136" s="77"/>
    </row>
    <row r="137" spans="6:12" ht="12">
      <c r="F137" s="77"/>
      <c r="G137" s="77"/>
      <c r="H137" s="77"/>
      <c r="L137" s="77"/>
    </row>
    <row r="138" spans="6:12" ht="12">
      <c r="F138" s="77"/>
      <c r="G138" s="77"/>
      <c r="H138" s="77"/>
      <c r="L138" s="77"/>
    </row>
    <row r="139" spans="6:12" ht="12">
      <c r="F139" s="77"/>
      <c r="G139" s="77"/>
      <c r="H139" s="77"/>
      <c r="L139" s="77"/>
    </row>
    <row r="140" spans="6:12" ht="12">
      <c r="F140" s="77"/>
      <c r="G140" s="77"/>
      <c r="H140" s="77"/>
      <c r="L140" s="77"/>
    </row>
    <row r="141" spans="6:12" ht="12">
      <c r="F141" s="77"/>
      <c r="G141" s="77"/>
      <c r="H141" s="77"/>
      <c r="L141" s="77"/>
    </row>
    <row r="142" spans="6:12" ht="12">
      <c r="F142" s="77"/>
      <c r="G142" s="77"/>
      <c r="H142" s="77"/>
      <c r="L142" s="77"/>
    </row>
    <row r="143" spans="6:12" ht="12">
      <c r="F143" s="77"/>
      <c r="G143" s="77"/>
      <c r="H143" s="77"/>
      <c r="L143" s="77"/>
    </row>
    <row r="144" spans="6:12" ht="12">
      <c r="F144" s="77"/>
      <c r="G144" s="77"/>
      <c r="H144" s="77"/>
      <c r="L144" s="77"/>
    </row>
    <row r="145" spans="6:12" ht="12">
      <c r="F145" s="77"/>
      <c r="G145" s="77"/>
      <c r="H145" s="77"/>
      <c r="L145" s="77"/>
    </row>
    <row r="146" spans="6:12" ht="12">
      <c r="F146" s="77"/>
      <c r="G146" s="77"/>
      <c r="H146" s="77"/>
      <c r="L146" s="77"/>
    </row>
    <row r="147" spans="6:12" ht="12">
      <c r="F147" s="77"/>
      <c r="G147" s="77"/>
      <c r="H147" s="77"/>
      <c r="L147" s="77"/>
    </row>
    <row r="148" spans="6:12" ht="12">
      <c r="F148" s="77"/>
      <c r="G148" s="77"/>
      <c r="H148" s="77"/>
      <c r="L148" s="77"/>
    </row>
    <row r="149" spans="6:8" ht="12">
      <c r="F149" s="77"/>
      <c r="G149" s="77"/>
      <c r="H149" s="77"/>
    </row>
  </sheetData>
  <sheetProtection sheet="1" objects="1" scenarios="1" selectLockedCells="1"/>
  <mergeCells count="2">
    <mergeCell ref="C1:D1"/>
    <mergeCell ref="G1:I1"/>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L68"/>
  <sheetViews>
    <sheetView workbookViewId="0" topLeftCell="A1">
      <pane ySplit="2" topLeftCell="BM3" activePane="bottomLeft" state="frozen"/>
      <selection pane="topLeft" activeCell="A1" sqref="A1"/>
      <selection pane="bottomLeft" activeCell="G17" sqref="G17"/>
    </sheetView>
  </sheetViews>
  <sheetFormatPr defaultColWidth="9.00390625" defaultRowHeight="13.5"/>
  <cols>
    <col min="1" max="1" width="2.625" style="77" customWidth="1"/>
    <col min="2" max="2" width="19.125" style="77" bestFit="1" customWidth="1"/>
    <col min="3" max="3" width="7.25390625" style="64" customWidth="1"/>
    <col min="4" max="5" width="2.75390625" style="64" customWidth="1"/>
    <col min="6" max="6" width="16.125" style="64" bestFit="1" customWidth="1"/>
    <col min="7" max="7" width="7.75390625" style="64" customWidth="1"/>
    <col min="8" max="8" width="2.75390625" style="64" customWidth="1"/>
    <col min="9" max="9" width="3.00390625" style="64" customWidth="1"/>
    <col min="10" max="10" width="17.75390625" style="64" customWidth="1"/>
    <col min="11" max="11" width="7.25390625" style="64" customWidth="1"/>
    <col min="12" max="16384" width="9.00390625" style="64" customWidth="1"/>
  </cols>
  <sheetData>
    <row r="1" spans="1:12" s="68" customFormat="1" ht="13.5">
      <c r="A1" s="107" t="s">
        <v>175</v>
      </c>
      <c r="B1" s="107"/>
      <c r="C1" s="70"/>
      <c r="E1" s="69" t="s">
        <v>26</v>
      </c>
      <c r="F1" s="69"/>
      <c r="G1" s="70"/>
      <c r="I1" s="69" t="s">
        <v>177</v>
      </c>
      <c r="J1" s="69"/>
      <c r="K1" s="69"/>
      <c r="L1" s="69"/>
    </row>
    <row r="2" spans="1:11" ht="12.75" thickBot="1">
      <c r="A2" s="249"/>
      <c r="B2" s="72" t="s">
        <v>35</v>
      </c>
      <c r="C2" s="73" t="s">
        <v>36</v>
      </c>
      <c r="D2" s="72"/>
      <c r="F2" s="250" t="s">
        <v>35</v>
      </c>
      <c r="G2" s="251" t="s">
        <v>36</v>
      </c>
      <c r="H2" s="72"/>
      <c r="I2" s="249"/>
      <c r="J2" s="72" t="s">
        <v>35</v>
      </c>
      <c r="K2" s="73" t="s">
        <v>36</v>
      </c>
    </row>
    <row r="3" spans="1:11" ht="12">
      <c r="A3" s="252" t="s">
        <v>108</v>
      </c>
      <c r="B3" s="253"/>
      <c r="C3" s="251"/>
      <c r="D3" s="250"/>
      <c r="E3" s="76"/>
      <c r="F3" s="232" t="s">
        <v>38</v>
      </c>
      <c r="G3" s="82"/>
      <c r="I3" s="80" t="s">
        <v>151</v>
      </c>
      <c r="J3" s="80"/>
      <c r="K3" s="254"/>
    </row>
    <row r="4" spans="2:11" ht="12">
      <c r="B4" s="233" t="s">
        <v>410</v>
      </c>
      <c r="C4" s="83"/>
      <c r="E4" s="77"/>
      <c r="F4" s="233" t="s">
        <v>47</v>
      </c>
      <c r="G4" s="83"/>
      <c r="J4" s="233" t="s">
        <v>152</v>
      </c>
      <c r="K4" s="83"/>
    </row>
    <row r="5" spans="2:11" ht="12">
      <c r="B5" s="233" t="s">
        <v>411</v>
      </c>
      <c r="C5" s="83"/>
      <c r="E5" s="77"/>
      <c r="F5" s="233" t="s">
        <v>48</v>
      </c>
      <c r="G5" s="83"/>
      <c r="J5" s="233" t="s">
        <v>153</v>
      </c>
      <c r="K5" s="83"/>
    </row>
    <row r="6" spans="2:11" ht="12">
      <c r="B6" s="233" t="s">
        <v>412</v>
      </c>
      <c r="C6" s="83"/>
      <c r="E6" s="77"/>
      <c r="F6" s="233" t="s">
        <v>39</v>
      </c>
      <c r="G6" s="83"/>
      <c r="J6" s="233" t="s">
        <v>154</v>
      </c>
      <c r="K6" s="83"/>
    </row>
    <row r="7" spans="2:11" ht="12">
      <c r="B7" s="233" t="s">
        <v>413</v>
      </c>
      <c r="C7" s="83"/>
      <c r="E7" s="77"/>
      <c r="F7" s="233" t="s">
        <v>49</v>
      </c>
      <c r="G7" s="83"/>
      <c r="J7" s="233" t="s">
        <v>155</v>
      </c>
      <c r="K7" s="83"/>
    </row>
    <row r="8" spans="2:11" ht="12">
      <c r="B8" s="233" t="s">
        <v>414</v>
      </c>
      <c r="C8" s="83"/>
      <c r="E8" s="77"/>
      <c r="F8" s="233" t="s">
        <v>50</v>
      </c>
      <c r="G8" s="83"/>
      <c r="J8" s="233" t="s">
        <v>238</v>
      </c>
      <c r="K8" s="83"/>
    </row>
    <row r="9" spans="2:11" ht="12">
      <c r="B9" s="233" t="s">
        <v>415</v>
      </c>
      <c r="C9" s="83"/>
      <c r="E9" s="77"/>
      <c r="F9" s="233" t="s">
        <v>40</v>
      </c>
      <c r="G9" s="83"/>
      <c r="J9" s="233" t="s">
        <v>237</v>
      </c>
      <c r="K9" s="83"/>
    </row>
    <row r="10" spans="2:11" ht="12">
      <c r="B10" s="233" t="s">
        <v>416</v>
      </c>
      <c r="C10" s="83"/>
      <c r="E10" s="77"/>
      <c r="F10" s="233" t="s">
        <v>51</v>
      </c>
      <c r="G10" s="83"/>
      <c r="J10" s="233" t="s">
        <v>156</v>
      </c>
      <c r="K10" s="83"/>
    </row>
    <row r="11" spans="3:11" ht="12">
      <c r="C11" s="254"/>
      <c r="E11" s="77"/>
      <c r="F11" s="233" t="s">
        <v>41</v>
      </c>
      <c r="G11" s="83"/>
      <c r="J11" s="233"/>
      <c r="K11" s="83"/>
    </row>
    <row r="12" spans="1:11" ht="12.75" thickBot="1">
      <c r="A12" s="252" t="s">
        <v>109</v>
      </c>
      <c r="B12" s="252"/>
      <c r="C12" s="254"/>
      <c r="E12" s="77"/>
      <c r="F12" s="233" t="s">
        <v>52</v>
      </c>
      <c r="G12" s="83"/>
      <c r="J12" s="255" t="s">
        <v>157</v>
      </c>
      <c r="K12" s="85"/>
    </row>
    <row r="13" spans="2:7" ht="12">
      <c r="B13" s="233" t="s">
        <v>111</v>
      </c>
      <c r="C13" s="83"/>
      <c r="E13" s="77"/>
      <c r="F13" s="233" t="s">
        <v>42</v>
      </c>
      <c r="G13" s="83"/>
    </row>
    <row r="14" spans="2:11" ht="12">
      <c r="B14" s="233" t="s">
        <v>110</v>
      </c>
      <c r="C14" s="83"/>
      <c r="E14" s="77"/>
      <c r="F14" s="233" t="s">
        <v>53</v>
      </c>
      <c r="G14" s="83"/>
      <c r="I14" s="80" t="s">
        <v>176</v>
      </c>
      <c r="J14" s="80"/>
      <c r="K14" s="254"/>
    </row>
    <row r="15" spans="2:11" ht="12.75" thickBot="1">
      <c r="B15" s="233" t="s">
        <v>112</v>
      </c>
      <c r="C15" s="83"/>
      <c r="E15" s="77"/>
      <c r="F15" s="233" t="s">
        <v>43</v>
      </c>
      <c r="G15" s="83"/>
      <c r="J15" s="255" t="s">
        <v>159</v>
      </c>
      <c r="K15" s="85"/>
    </row>
    <row r="16" spans="2:7" ht="12">
      <c r="B16" s="233" t="s">
        <v>113</v>
      </c>
      <c r="C16" s="83"/>
      <c r="E16" s="77"/>
      <c r="F16" s="233" t="s">
        <v>60</v>
      </c>
      <c r="G16" s="83"/>
    </row>
    <row r="17" spans="2:11" ht="12">
      <c r="B17" s="233" t="s">
        <v>114</v>
      </c>
      <c r="C17" s="83"/>
      <c r="E17" s="77"/>
      <c r="F17" s="233" t="s">
        <v>61</v>
      </c>
      <c r="G17" s="83"/>
      <c r="I17" s="80" t="s">
        <v>160</v>
      </c>
      <c r="J17" s="80"/>
      <c r="K17" s="254"/>
    </row>
    <row r="18" spans="2:11" ht="12.75" thickBot="1">
      <c r="B18" s="233" t="s">
        <v>115</v>
      </c>
      <c r="C18" s="83"/>
      <c r="E18" s="77"/>
      <c r="F18" s="233" t="s">
        <v>55</v>
      </c>
      <c r="G18" s="83"/>
      <c r="J18" s="255" t="s">
        <v>161</v>
      </c>
      <c r="K18" s="85"/>
    </row>
    <row r="19" spans="2:7" ht="12">
      <c r="B19" s="233" t="s">
        <v>116</v>
      </c>
      <c r="C19" s="83"/>
      <c r="E19" s="77"/>
      <c r="F19" s="233" t="s">
        <v>54</v>
      </c>
      <c r="G19" s="83"/>
    </row>
    <row r="20" spans="2:7" ht="12">
      <c r="B20" s="233" t="s">
        <v>117</v>
      </c>
      <c r="C20" s="83"/>
      <c r="E20" s="77"/>
      <c r="F20" s="233" t="s">
        <v>44</v>
      </c>
      <c r="G20" s="83"/>
    </row>
    <row r="21" spans="2:7" ht="12">
      <c r="B21" s="233" t="s">
        <v>118</v>
      </c>
      <c r="C21" s="83"/>
      <c r="E21" s="77"/>
      <c r="F21" s="233" t="s">
        <v>56</v>
      </c>
      <c r="G21" s="83"/>
    </row>
    <row r="22" spans="2:7" ht="12">
      <c r="B22" s="233" t="s">
        <v>119</v>
      </c>
      <c r="C22" s="83"/>
      <c r="E22" s="77"/>
      <c r="F22" s="233" t="s">
        <v>45</v>
      </c>
      <c r="G22" s="83"/>
    </row>
    <row r="23" spans="2:7" ht="12">
      <c r="B23" s="233" t="s">
        <v>120</v>
      </c>
      <c r="C23" s="83"/>
      <c r="E23" s="77"/>
      <c r="F23" s="233" t="s">
        <v>57</v>
      </c>
      <c r="G23" s="83"/>
    </row>
    <row r="24" spans="2:7" ht="12">
      <c r="B24" s="233" t="s">
        <v>121</v>
      </c>
      <c r="C24" s="83"/>
      <c r="E24" s="77"/>
      <c r="F24" s="233" t="s">
        <v>62</v>
      </c>
      <c r="G24" s="83"/>
    </row>
    <row r="25" spans="3:7" ht="12">
      <c r="C25" s="254"/>
      <c r="E25" s="77"/>
      <c r="F25" s="233" t="s">
        <v>46</v>
      </c>
      <c r="G25" s="83"/>
    </row>
    <row r="26" spans="1:7" ht="12">
      <c r="A26" s="252" t="s">
        <v>122</v>
      </c>
      <c r="B26" s="252"/>
      <c r="C26" s="254"/>
      <c r="E26" s="77"/>
      <c r="F26" s="233" t="s">
        <v>58</v>
      </c>
      <c r="G26" s="83"/>
    </row>
    <row r="27" spans="2:7" ht="12">
      <c r="B27" s="233" t="s">
        <v>282</v>
      </c>
      <c r="C27" s="83"/>
      <c r="E27" s="77"/>
      <c r="F27" s="233" t="s">
        <v>63</v>
      </c>
      <c r="G27" s="83"/>
    </row>
    <row r="28" spans="2:7" ht="12">
      <c r="B28" s="233" t="s">
        <v>283</v>
      </c>
      <c r="C28" s="83"/>
      <c r="E28" s="77"/>
      <c r="F28" s="233" t="s">
        <v>404</v>
      </c>
      <c r="G28" s="83"/>
    </row>
    <row r="29" spans="2:7" ht="12">
      <c r="B29" s="233" t="s">
        <v>284</v>
      </c>
      <c r="C29" s="83"/>
      <c r="E29" s="77"/>
      <c r="F29" s="233" t="s">
        <v>405</v>
      </c>
      <c r="G29" s="83"/>
    </row>
    <row r="30" spans="2:7" ht="12">
      <c r="B30" s="233" t="s">
        <v>285</v>
      </c>
      <c r="C30" s="83"/>
      <c r="E30" s="77"/>
      <c r="F30" s="233" t="s">
        <v>406</v>
      </c>
      <c r="G30" s="83"/>
    </row>
    <row r="31" spans="2:7" ht="12">
      <c r="B31" s="233" t="s">
        <v>127</v>
      </c>
      <c r="C31" s="83"/>
      <c r="E31" s="77"/>
      <c r="F31" s="233" t="s">
        <v>407</v>
      </c>
      <c r="G31" s="83"/>
    </row>
    <row r="32" spans="2:7" ht="12">
      <c r="B32" s="233" t="s">
        <v>128</v>
      </c>
      <c r="C32" s="83"/>
      <c r="F32" s="233" t="s">
        <v>64</v>
      </c>
      <c r="G32" s="83"/>
    </row>
    <row r="33" spans="2:7" ht="12.75" thickBot="1">
      <c r="B33" s="233" t="s">
        <v>129</v>
      </c>
      <c r="C33" s="83"/>
      <c r="F33" s="255" t="s">
        <v>59</v>
      </c>
      <c r="G33" s="85"/>
    </row>
    <row r="34" spans="2:3" ht="12">
      <c r="B34" s="233" t="s">
        <v>130</v>
      </c>
      <c r="C34" s="83"/>
    </row>
    <row r="35" spans="2:3" ht="12">
      <c r="B35" s="233" t="s">
        <v>286</v>
      </c>
      <c r="C35" s="83"/>
    </row>
    <row r="36" spans="2:3" ht="12">
      <c r="B36" s="233" t="s">
        <v>287</v>
      </c>
      <c r="C36" s="83"/>
    </row>
    <row r="37" spans="2:3" ht="12">
      <c r="B37" s="233" t="s">
        <v>131</v>
      </c>
      <c r="C37" s="83"/>
    </row>
    <row r="38" spans="2:3" ht="12">
      <c r="B38" s="233" t="s">
        <v>132</v>
      </c>
      <c r="C38" s="83"/>
    </row>
    <row r="39" spans="2:3" ht="12">
      <c r="B39" s="233" t="s">
        <v>133</v>
      </c>
      <c r="C39" s="83"/>
    </row>
    <row r="40" spans="2:3" ht="12">
      <c r="B40" s="233" t="s">
        <v>134</v>
      </c>
      <c r="C40" s="83"/>
    </row>
    <row r="41" spans="2:3" ht="12">
      <c r="B41" s="233" t="s">
        <v>123</v>
      </c>
      <c r="C41" s="83"/>
    </row>
    <row r="42" spans="2:3" ht="12">
      <c r="B42" s="233" t="s">
        <v>124</v>
      </c>
      <c r="C42" s="83"/>
    </row>
    <row r="43" spans="2:3" ht="12">
      <c r="B43" s="233" t="s">
        <v>125</v>
      </c>
      <c r="C43" s="83"/>
    </row>
    <row r="44" spans="2:3" ht="12">
      <c r="B44" s="233" t="s">
        <v>126</v>
      </c>
      <c r="C44" s="83"/>
    </row>
    <row r="45" spans="2:3" ht="12">
      <c r="B45" s="233" t="s">
        <v>422</v>
      </c>
      <c r="C45" s="83"/>
    </row>
    <row r="46" spans="2:3" ht="12">
      <c r="B46" s="233" t="s">
        <v>423</v>
      </c>
      <c r="C46" s="83"/>
    </row>
    <row r="47" spans="2:3" ht="12">
      <c r="B47" s="233" t="s">
        <v>135</v>
      </c>
      <c r="C47" s="83"/>
    </row>
    <row r="48" spans="2:3" ht="12">
      <c r="B48" s="233" t="s">
        <v>136</v>
      </c>
      <c r="C48" s="83"/>
    </row>
    <row r="49" spans="2:3" ht="12">
      <c r="B49" s="233" t="s">
        <v>137</v>
      </c>
      <c r="C49" s="83"/>
    </row>
    <row r="50" spans="2:3" ht="12">
      <c r="B50" s="233" t="s">
        <v>138</v>
      </c>
      <c r="C50" s="83"/>
    </row>
    <row r="51" spans="2:3" ht="12">
      <c r="B51" s="233" t="s">
        <v>424</v>
      </c>
      <c r="C51" s="83"/>
    </row>
    <row r="52" spans="2:3" ht="12">
      <c r="B52" s="233" t="s">
        <v>425</v>
      </c>
      <c r="C52" s="83"/>
    </row>
    <row r="53" spans="2:3" ht="12">
      <c r="B53" s="233" t="s">
        <v>139</v>
      </c>
      <c r="C53" s="83"/>
    </row>
    <row r="54" spans="2:3" ht="12">
      <c r="B54" s="233" t="s">
        <v>140</v>
      </c>
      <c r="C54" s="83"/>
    </row>
    <row r="55" spans="2:3" ht="12">
      <c r="B55" s="233" t="s">
        <v>141</v>
      </c>
      <c r="C55" s="83"/>
    </row>
    <row r="56" spans="2:3" ht="12">
      <c r="B56" s="233" t="s">
        <v>142</v>
      </c>
      <c r="C56" s="83"/>
    </row>
    <row r="57" spans="2:3" ht="12">
      <c r="B57" s="233" t="s">
        <v>426</v>
      </c>
      <c r="C57" s="83"/>
    </row>
    <row r="58" spans="2:3" ht="12">
      <c r="B58" s="233" t="s">
        <v>427</v>
      </c>
      <c r="C58" s="83"/>
    </row>
    <row r="59" spans="2:3" ht="12">
      <c r="B59" s="233" t="s">
        <v>143</v>
      </c>
      <c r="C59" s="83"/>
    </row>
    <row r="60" spans="2:3" ht="12">
      <c r="B60" s="233" t="s">
        <v>144</v>
      </c>
      <c r="C60" s="83"/>
    </row>
    <row r="61" spans="2:3" ht="12">
      <c r="B61" s="233" t="s">
        <v>145</v>
      </c>
      <c r="C61" s="83"/>
    </row>
    <row r="62" spans="2:3" ht="12">
      <c r="B62" s="233" t="s">
        <v>146</v>
      </c>
      <c r="C62" s="83"/>
    </row>
    <row r="63" spans="2:3" ht="12">
      <c r="B63" s="233" t="s">
        <v>428</v>
      </c>
      <c r="C63" s="83"/>
    </row>
    <row r="64" spans="2:3" ht="12">
      <c r="B64" s="233" t="s">
        <v>429</v>
      </c>
      <c r="C64" s="83"/>
    </row>
    <row r="65" spans="2:3" ht="12">
      <c r="B65" s="233" t="s">
        <v>147</v>
      </c>
      <c r="C65" s="83"/>
    </row>
    <row r="66" spans="2:3" ht="12">
      <c r="B66" s="233" t="s">
        <v>148</v>
      </c>
      <c r="C66" s="83"/>
    </row>
    <row r="67" spans="2:3" ht="12">
      <c r="B67" s="233" t="s">
        <v>149</v>
      </c>
      <c r="C67" s="83"/>
    </row>
    <row r="68" spans="2:3" ht="12.75" thickBot="1">
      <c r="B68" s="255" t="s">
        <v>150</v>
      </c>
      <c r="C68" s="83"/>
    </row>
  </sheetData>
  <sheetProtection sheet="1" objects="1" scenarios="1" selectLockedCells="1"/>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H111"/>
  <sheetViews>
    <sheetView workbookViewId="0" topLeftCell="A1">
      <pane ySplit="2" topLeftCell="BM21" activePane="bottomLeft" state="frozen"/>
      <selection pane="topLeft" activeCell="A1" sqref="A1"/>
      <selection pane="bottomLeft" activeCell="B49" sqref="B49"/>
    </sheetView>
  </sheetViews>
  <sheetFormatPr defaultColWidth="9.00390625" defaultRowHeight="13.5"/>
  <cols>
    <col min="1" max="1" width="7.50390625" style="257" customWidth="1"/>
    <col min="2" max="2" width="19.25390625" style="257" customWidth="1"/>
    <col min="3" max="3" width="7.375" style="257" customWidth="1"/>
    <col min="4" max="4" width="7.625" style="256" customWidth="1"/>
    <col min="5" max="5" width="7.625" style="257" customWidth="1"/>
    <col min="6" max="6" width="21.125" style="257" customWidth="1"/>
    <col min="7" max="7" width="7.875" style="257" customWidth="1"/>
    <col min="8" max="16384" width="9.00390625" style="257" customWidth="1"/>
  </cols>
  <sheetData>
    <row r="1" spans="1:3" ht="13.5">
      <c r="A1" s="69" t="s">
        <v>67</v>
      </c>
      <c r="B1" s="69"/>
      <c r="C1" s="68"/>
    </row>
    <row r="2" spans="1:8" ht="14.25" thickBot="1">
      <c r="A2" s="64"/>
      <c r="B2" s="250" t="s">
        <v>35</v>
      </c>
      <c r="C2" s="250" t="s">
        <v>36</v>
      </c>
      <c r="D2" s="286"/>
      <c r="E2" s="258"/>
      <c r="F2" s="72" t="s">
        <v>35</v>
      </c>
      <c r="G2" s="72" t="s">
        <v>36</v>
      </c>
      <c r="H2" s="286"/>
    </row>
    <row r="3" spans="1:7" ht="13.5">
      <c r="A3" s="259" t="s">
        <v>33</v>
      </c>
      <c r="B3" s="232" t="s">
        <v>65</v>
      </c>
      <c r="C3" s="86"/>
      <c r="E3" s="252" t="s">
        <v>34</v>
      </c>
      <c r="F3" s="232" t="s">
        <v>66</v>
      </c>
      <c r="G3" s="86"/>
    </row>
    <row r="5" spans="1:7" ht="13.5">
      <c r="A5" s="252" t="s">
        <v>68</v>
      </c>
      <c r="B5" s="233" t="s">
        <v>70</v>
      </c>
      <c r="C5" s="84"/>
      <c r="E5" s="252" t="s">
        <v>69</v>
      </c>
      <c r="F5" s="233" t="s">
        <v>73</v>
      </c>
      <c r="G5" s="84"/>
    </row>
    <row r="6" spans="1:7" ht="13.5">
      <c r="A6" s="77"/>
      <c r="B6" s="233" t="s">
        <v>71</v>
      </c>
      <c r="C6" s="84"/>
      <c r="E6" s="77"/>
      <c r="F6" s="233" t="s">
        <v>74</v>
      </c>
      <c r="G6" s="84"/>
    </row>
    <row r="7" spans="1:7" ht="13.5">
      <c r="A7" s="77"/>
      <c r="B7" s="233" t="s">
        <v>72</v>
      </c>
      <c r="C7" s="84"/>
      <c r="E7" s="77"/>
      <c r="F7" s="233" t="s">
        <v>75</v>
      </c>
      <c r="G7" s="84"/>
    </row>
    <row r="8" spans="1:7" ht="13.5">
      <c r="A8" s="77"/>
      <c r="B8" s="233" t="s">
        <v>432</v>
      </c>
      <c r="C8" s="84"/>
      <c r="E8" s="77"/>
      <c r="F8" s="233" t="s">
        <v>76</v>
      </c>
      <c r="G8" s="84"/>
    </row>
    <row r="9" spans="1:7" ht="13.5">
      <c r="A9" s="77"/>
      <c r="B9" s="233" t="s">
        <v>290</v>
      </c>
      <c r="C9" s="84"/>
      <c r="E9" s="77"/>
      <c r="F9" s="233" t="s">
        <v>434</v>
      </c>
      <c r="G9" s="84"/>
    </row>
    <row r="10" spans="1:7" ht="13.5">
      <c r="A10" s="77"/>
      <c r="B10" s="233" t="s">
        <v>431</v>
      </c>
      <c r="C10" s="84"/>
      <c r="E10" s="77"/>
      <c r="F10" s="233" t="s">
        <v>77</v>
      </c>
      <c r="G10" s="84"/>
    </row>
    <row r="11" spans="1:7" ht="13.5">
      <c r="A11" s="77"/>
      <c r="B11" s="233" t="s">
        <v>291</v>
      </c>
      <c r="C11" s="84"/>
      <c r="E11" s="77"/>
      <c r="F11" s="233" t="s">
        <v>78</v>
      </c>
      <c r="G11" s="84"/>
    </row>
    <row r="12" spans="1:7" ht="13.5">
      <c r="A12" s="77"/>
      <c r="B12" s="233" t="s">
        <v>433</v>
      </c>
      <c r="C12" s="84"/>
      <c r="F12" s="233" t="s">
        <v>292</v>
      </c>
      <c r="G12" s="84"/>
    </row>
    <row r="13" spans="1:7" ht="13.5">
      <c r="A13" s="77"/>
      <c r="B13" s="233"/>
      <c r="C13" s="235"/>
      <c r="F13" s="233" t="s">
        <v>79</v>
      </c>
      <c r="G13" s="84"/>
    </row>
    <row r="14" spans="1:7" ht="13.5">
      <c r="A14" s="77"/>
      <c r="B14" s="233"/>
      <c r="C14" s="235"/>
      <c r="F14" s="233" t="s">
        <v>293</v>
      </c>
      <c r="G14" s="84"/>
    </row>
    <row r="15" spans="2:7" ht="13.5">
      <c r="B15" s="260"/>
      <c r="C15" s="291"/>
      <c r="F15" s="233" t="s">
        <v>288</v>
      </c>
      <c r="G15" s="84"/>
    </row>
    <row r="16" spans="2:7" ht="13.5">
      <c r="B16" s="260"/>
      <c r="C16" s="291"/>
      <c r="F16" s="233"/>
      <c r="G16" s="235"/>
    </row>
    <row r="17" spans="2:3" ht="13.5">
      <c r="B17" s="256"/>
      <c r="C17" s="256"/>
    </row>
    <row r="18" spans="1:7" ht="13.5">
      <c r="A18" s="80" t="s">
        <v>80</v>
      </c>
      <c r="B18" s="233" t="s">
        <v>81</v>
      </c>
      <c r="C18" s="84"/>
      <c r="E18" s="80" t="s">
        <v>88</v>
      </c>
      <c r="F18" s="235" t="s">
        <v>438</v>
      </c>
      <c r="G18" s="84"/>
    </row>
    <row r="19" spans="2:7" ht="13.5">
      <c r="B19" s="233" t="s">
        <v>82</v>
      </c>
      <c r="C19" s="84"/>
      <c r="E19" s="68"/>
      <c r="F19" s="233" t="s">
        <v>439</v>
      </c>
      <c r="G19" s="84"/>
    </row>
    <row r="20" spans="2:7" ht="13.5">
      <c r="B20" s="233" t="s">
        <v>83</v>
      </c>
      <c r="C20" s="84"/>
      <c r="E20" s="68"/>
      <c r="F20" s="233" t="s">
        <v>90</v>
      </c>
      <c r="G20" s="84"/>
    </row>
    <row r="21" spans="2:7" ht="13.5">
      <c r="B21" s="233" t="s">
        <v>84</v>
      </c>
      <c r="C21" s="84"/>
      <c r="E21" s="68"/>
      <c r="F21" s="278" t="s">
        <v>440</v>
      </c>
      <c r="G21" s="84"/>
    </row>
    <row r="22" spans="2:7" ht="13.5">
      <c r="B22" s="233" t="s">
        <v>85</v>
      </c>
      <c r="C22" s="84"/>
      <c r="E22" s="68"/>
      <c r="F22" s="233" t="s">
        <v>455</v>
      </c>
      <c r="G22" s="84"/>
    </row>
    <row r="23" spans="2:7" ht="13.5">
      <c r="B23" s="233" t="s">
        <v>86</v>
      </c>
      <c r="C23" s="84"/>
      <c r="E23" s="68"/>
      <c r="F23" s="233" t="s">
        <v>456</v>
      </c>
      <c r="G23" s="84"/>
    </row>
    <row r="24" spans="2:7" ht="13.5">
      <c r="B24" s="233" t="s">
        <v>89</v>
      </c>
      <c r="C24" s="84"/>
      <c r="E24" s="68"/>
      <c r="F24" s="233"/>
      <c r="G24" s="84"/>
    </row>
    <row r="25" spans="2:7" ht="13.5">
      <c r="B25" s="233" t="s">
        <v>87</v>
      </c>
      <c r="C25" s="84"/>
      <c r="E25" s="68"/>
      <c r="F25" s="233" t="s">
        <v>91</v>
      </c>
      <c r="G25" s="84"/>
    </row>
    <row r="26" spans="2:7" ht="13.5">
      <c r="B26" s="233" t="s">
        <v>435</v>
      </c>
      <c r="C26" s="84"/>
      <c r="E26" s="68"/>
      <c r="F26" s="233" t="s">
        <v>92</v>
      </c>
      <c r="G26" s="84"/>
    </row>
    <row r="27" spans="2:7" ht="13.5">
      <c r="B27" s="233" t="s">
        <v>454</v>
      </c>
      <c r="C27" s="84"/>
      <c r="E27" s="68"/>
      <c r="F27" s="233"/>
      <c r="G27" s="235"/>
    </row>
    <row r="28" spans="2:7" ht="13.5">
      <c r="B28" s="233" t="s">
        <v>96</v>
      </c>
      <c r="C28" s="84"/>
      <c r="E28" s="68"/>
      <c r="F28" s="233"/>
      <c r="G28" s="235"/>
    </row>
    <row r="29" spans="2:7" ht="13.5">
      <c r="B29" s="233" t="s">
        <v>289</v>
      </c>
      <c r="C29" s="84"/>
      <c r="E29" s="68"/>
      <c r="F29" s="233"/>
      <c r="G29" s="235"/>
    </row>
    <row r="30" spans="1:7" ht="13.5">
      <c r="A30" s="77"/>
      <c r="B30" s="233" t="s">
        <v>294</v>
      </c>
      <c r="C30" s="84"/>
      <c r="E30" s="68"/>
      <c r="F30" s="261" t="s">
        <v>243</v>
      </c>
      <c r="G30" s="84"/>
    </row>
    <row r="31" spans="1:7" ht="13.5">
      <c r="A31" s="77"/>
      <c r="B31" s="233" t="s">
        <v>295</v>
      </c>
      <c r="C31" s="264"/>
      <c r="E31" s="68"/>
      <c r="F31" s="261" t="s">
        <v>244</v>
      </c>
      <c r="G31" s="84"/>
    </row>
    <row r="32" spans="1:7" ht="13.5">
      <c r="A32" s="77"/>
      <c r="B32" s="233"/>
      <c r="C32" s="291"/>
      <c r="E32" s="68"/>
      <c r="F32" s="262" t="s">
        <v>216</v>
      </c>
      <c r="G32" s="88"/>
    </row>
    <row r="33" spans="1:8" ht="13.5">
      <c r="A33" s="77"/>
      <c r="B33" s="260"/>
      <c r="C33" s="291"/>
      <c r="E33" s="68"/>
      <c r="F33" s="262" t="s">
        <v>465</v>
      </c>
      <c r="G33" s="264"/>
      <c r="H33" s="257" t="s">
        <v>468</v>
      </c>
    </row>
    <row r="34" spans="1:7" ht="13.5">
      <c r="A34" s="77"/>
      <c r="B34" s="235"/>
      <c r="C34" s="292"/>
      <c r="E34" s="68"/>
      <c r="F34" s="265" t="s">
        <v>296</v>
      </c>
      <c r="G34" s="88"/>
    </row>
    <row r="35" spans="1:7" ht="13.5">
      <c r="A35" s="77"/>
      <c r="B35" s="235"/>
      <c r="C35" s="292"/>
      <c r="E35" s="68"/>
      <c r="F35" s="235" t="s">
        <v>297</v>
      </c>
      <c r="G35" s="88"/>
    </row>
    <row r="36" spans="1:7" ht="13.5">
      <c r="A36" s="77"/>
      <c r="B36" s="235"/>
      <c r="C36" s="292"/>
      <c r="E36" s="68"/>
      <c r="F36" s="235"/>
      <c r="G36" s="292"/>
    </row>
    <row r="37" spans="1:5" ht="13.5">
      <c r="A37" s="77"/>
      <c r="B37" s="256"/>
      <c r="C37" s="256"/>
      <c r="E37" s="68"/>
    </row>
    <row r="38" spans="1:7" ht="13.5">
      <c r="A38" s="252" t="s">
        <v>93</v>
      </c>
      <c r="B38" s="233" t="s">
        <v>436</v>
      </c>
      <c r="C38" s="84"/>
      <c r="E38" s="80" t="s">
        <v>95</v>
      </c>
      <c r="F38" s="261" t="s">
        <v>94</v>
      </c>
      <c r="G38" s="84"/>
    </row>
    <row r="39" spans="1:5" ht="13.5">
      <c r="A39" s="77"/>
      <c r="B39" s="233" t="s">
        <v>437</v>
      </c>
      <c r="C39" s="84"/>
      <c r="E39" s="68"/>
    </row>
    <row r="40" spans="1:7" ht="13.5" customHeight="1">
      <c r="A40" s="77"/>
      <c r="B40" s="261" t="s">
        <v>244</v>
      </c>
      <c r="C40" s="84"/>
      <c r="E40" s="68"/>
      <c r="F40" s="263"/>
      <c r="G40" s="263"/>
    </row>
    <row r="41" spans="1:7" ht="13.5">
      <c r="A41" s="77"/>
      <c r="B41" s="261" t="s">
        <v>94</v>
      </c>
      <c r="C41" s="84"/>
      <c r="F41" s="302" t="s">
        <v>245</v>
      </c>
      <c r="G41" s="303"/>
    </row>
    <row r="42" spans="1:7" ht="13.5" customHeight="1">
      <c r="A42" s="77"/>
      <c r="B42" s="260"/>
      <c r="C42" s="291"/>
      <c r="F42" s="303"/>
      <c r="G42" s="303"/>
    </row>
    <row r="43" spans="1:7" ht="13.5">
      <c r="A43" s="77"/>
      <c r="B43" s="256"/>
      <c r="C43" s="293"/>
      <c r="F43" s="303"/>
      <c r="G43" s="303"/>
    </row>
    <row r="44" spans="1:7" ht="13.5">
      <c r="A44" s="252" t="s">
        <v>457</v>
      </c>
      <c r="B44" s="284"/>
      <c r="C44" s="250" t="s">
        <v>36</v>
      </c>
      <c r="D44" s="285" t="s">
        <v>28</v>
      </c>
      <c r="F44" s="303"/>
      <c r="G44" s="303"/>
    </row>
    <row r="45" spans="1:7" ht="13.5">
      <c r="A45" s="77"/>
      <c r="B45" s="264"/>
      <c r="C45" s="264"/>
      <c r="D45" s="264"/>
      <c r="F45" s="304"/>
      <c r="G45" s="304"/>
    </row>
    <row r="46" spans="1:4" ht="13.5">
      <c r="A46" s="77"/>
      <c r="B46" s="264"/>
      <c r="C46" s="264"/>
      <c r="D46" s="264"/>
    </row>
    <row r="47" spans="1:7" ht="13.5">
      <c r="A47" s="77"/>
      <c r="B47" s="84"/>
      <c r="C47" s="84"/>
      <c r="D47" s="264"/>
      <c r="F47" s="295" t="s">
        <v>466</v>
      </c>
      <c r="G47" s="296"/>
    </row>
    <row r="48" spans="1:7" ht="13.5">
      <c r="A48" s="77"/>
      <c r="B48" s="84"/>
      <c r="C48" s="84"/>
      <c r="D48" s="264"/>
      <c r="F48" s="296"/>
      <c r="G48" s="296"/>
    </row>
    <row r="49" spans="1:7" ht="13.5">
      <c r="A49" s="77"/>
      <c r="B49" s="84"/>
      <c r="C49" s="84"/>
      <c r="D49" s="264"/>
      <c r="F49" s="296"/>
      <c r="G49" s="296"/>
    </row>
    <row r="50" spans="1:7" ht="13.5">
      <c r="A50" s="252" t="s">
        <v>458</v>
      </c>
      <c r="B50" s="284"/>
      <c r="C50" s="250" t="s">
        <v>36</v>
      </c>
      <c r="D50" s="285" t="s">
        <v>28</v>
      </c>
      <c r="F50" s="296"/>
      <c r="G50" s="296"/>
    </row>
    <row r="51" spans="1:4" ht="13.5">
      <c r="A51" s="77"/>
      <c r="B51" s="264"/>
      <c r="C51" s="264"/>
      <c r="D51" s="264"/>
    </row>
    <row r="52" spans="1:7" ht="13.5">
      <c r="A52" s="77"/>
      <c r="B52" s="264"/>
      <c r="C52" s="264"/>
      <c r="D52" s="264"/>
      <c r="F52" s="297" t="s">
        <v>460</v>
      </c>
      <c r="G52" s="298"/>
    </row>
    <row r="53" spans="1:7" ht="13.5">
      <c r="A53" s="77"/>
      <c r="B53" s="84"/>
      <c r="C53" s="84"/>
      <c r="D53" s="264"/>
      <c r="F53" s="298"/>
      <c r="G53" s="298"/>
    </row>
    <row r="54" spans="1:7" ht="13.5">
      <c r="A54" s="77"/>
      <c r="B54" s="84"/>
      <c r="C54" s="84"/>
      <c r="D54" s="264"/>
      <c r="F54" s="298"/>
      <c r="G54" s="298"/>
    </row>
    <row r="55" spans="1:7" ht="13.5">
      <c r="A55" s="77"/>
      <c r="B55" s="84"/>
      <c r="C55" s="84"/>
      <c r="D55" s="264"/>
      <c r="F55" s="298"/>
      <c r="G55" s="298"/>
    </row>
    <row r="56" spans="1:3" ht="13.5">
      <c r="A56" s="77"/>
      <c r="B56" s="77"/>
      <c r="C56" s="77"/>
    </row>
    <row r="57" spans="1:3" ht="13.5">
      <c r="A57" s="77"/>
      <c r="B57" s="77"/>
      <c r="C57" s="77"/>
    </row>
    <row r="58" spans="1:3" ht="13.5">
      <c r="A58" s="77"/>
      <c r="B58" s="77"/>
      <c r="C58" s="77"/>
    </row>
    <row r="59" spans="1:3" ht="13.5">
      <c r="A59" s="77"/>
      <c r="B59" s="77"/>
      <c r="C59" s="77"/>
    </row>
    <row r="60" spans="1:3" ht="13.5">
      <c r="A60" s="77"/>
      <c r="B60" s="77"/>
      <c r="C60" s="77"/>
    </row>
    <row r="61" spans="1:3" ht="13.5">
      <c r="A61" s="77"/>
      <c r="B61" s="77"/>
      <c r="C61" s="77"/>
    </row>
    <row r="62" ht="13.5">
      <c r="A62" s="77"/>
    </row>
    <row r="63" ht="13.5">
      <c r="A63" s="77"/>
    </row>
    <row r="64" ht="13.5">
      <c r="A64" s="77"/>
    </row>
    <row r="65" ht="13.5">
      <c r="A65" s="77"/>
    </row>
    <row r="66" ht="13.5">
      <c r="A66" s="77"/>
    </row>
    <row r="67" ht="13.5">
      <c r="A67" s="77"/>
    </row>
    <row r="68" spans="1:3" ht="13.5">
      <c r="A68" s="77"/>
      <c r="B68" s="256"/>
      <c r="C68" s="256"/>
    </row>
    <row r="69" spans="1:3" ht="13.5">
      <c r="A69" s="77"/>
      <c r="B69" s="256"/>
      <c r="C69" s="256"/>
    </row>
    <row r="70" spans="1:3" ht="13.5">
      <c r="A70" s="77"/>
      <c r="B70" s="256"/>
      <c r="C70" s="256"/>
    </row>
    <row r="71" spans="1:3" ht="13.5">
      <c r="A71" s="77"/>
      <c r="B71" s="256"/>
      <c r="C71" s="256"/>
    </row>
    <row r="72" spans="1:3" ht="13.5">
      <c r="A72" s="77"/>
      <c r="B72" s="256"/>
      <c r="C72" s="256"/>
    </row>
    <row r="73" spans="1:3" ht="13.5">
      <c r="A73" s="77"/>
      <c r="B73" s="256"/>
      <c r="C73" s="256"/>
    </row>
    <row r="74" spans="1:3" ht="13.5">
      <c r="A74" s="77"/>
      <c r="B74" s="77"/>
      <c r="C74" s="77"/>
    </row>
    <row r="75" spans="1:3" ht="13.5">
      <c r="A75" s="77"/>
      <c r="B75" s="77"/>
      <c r="C75" s="77"/>
    </row>
    <row r="76" spans="1:3" ht="13.5">
      <c r="A76" s="77"/>
      <c r="B76" s="77"/>
      <c r="C76" s="77"/>
    </row>
    <row r="77" spans="1:3" ht="13.5">
      <c r="A77" s="77"/>
      <c r="B77" s="77"/>
      <c r="C77" s="77"/>
    </row>
    <row r="78" spans="1:3" ht="13.5">
      <c r="A78" s="77"/>
      <c r="B78" s="77"/>
      <c r="C78" s="77"/>
    </row>
    <row r="79" spans="1:3" ht="13.5">
      <c r="A79" s="77"/>
      <c r="B79" s="77"/>
      <c r="C79" s="77"/>
    </row>
    <row r="80" spans="1:3" ht="13.5">
      <c r="A80" s="77"/>
      <c r="B80" s="77"/>
      <c r="C80" s="77"/>
    </row>
    <row r="81" spans="1:3" ht="13.5">
      <c r="A81" s="77"/>
      <c r="B81" s="77"/>
      <c r="C81" s="77"/>
    </row>
    <row r="82" ht="13.5">
      <c r="A82" s="77"/>
    </row>
    <row r="83" ht="13.5">
      <c r="A83" s="77"/>
    </row>
    <row r="84" ht="13.5">
      <c r="A84" s="77"/>
    </row>
    <row r="85" ht="13.5">
      <c r="A85" s="77"/>
    </row>
    <row r="86" ht="13.5">
      <c r="A86" s="77"/>
    </row>
    <row r="87" ht="13.5">
      <c r="A87" s="77"/>
    </row>
    <row r="88" ht="13.5">
      <c r="A88" s="77"/>
    </row>
    <row r="89" ht="13.5">
      <c r="A89" s="77"/>
    </row>
    <row r="90" ht="13.5">
      <c r="A90" s="77"/>
    </row>
    <row r="91" ht="13.5">
      <c r="A91" s="77"/>
    </row>
    <row r="92" ht="13.5">
      <c r="A92" s="77"/>
    </row>
    <row r="93" ht="13.5">
      <c r="A93" s="77"/>
    </row>
    <row r="94" ht="13.5">
      <c r="A94" s="77"/>
    </row>
    <row r="95" spans="1:3" ht="13.5">
      <c r="A95" s="77"/>
      <c r="B95" s="256"/>
      <c r="C95" s="256"/>
    </row>
    <row r="96" spans="1:3" ht="13.5">
      <c r="A96" s="77"/>
      <c r="B96" s="256"/>
      <c r="C96" s="256"/>
    </row>
    <row r="97" spans="1:3" ht="13.5">
      <c r="A97" s="77"/>
      <c r="B97" s="256"/>
      <c r="C97" s="256"/>
    </row>
    <row r="98" spans="1:3" ht="13.5">
      <c r="A98" s="77"/>
      <c r="B98" s="256"/>
      <c r="C98" s="256"/>
    </row>
    <row r="99" spans="1:3" ht="13.5">
      <c r="A99" s="77"/>
      <c r="B99" s="256"/>
      <c r="C99" s="256"/>
    </row>
    <row r="100" spans="1:3" ht="13.5">
      <c r="A100" s="77"/>
      <c r="B100" s="256"/>
      <c r="C100" s="256"/>
    </row>
    <row r="101" spans="1:3" ht="13.5">
      <c r="A101" s="77"/>
      <c r="B101" s="77"/>
      <c r="C101" s="77"/>
    </row>
    <row r="102" spans="1:3" ht="13.5">
      <c r="A102" s="77"/>
      <c r="B102" s="77"/>
      <c r="C102" s="77"/>
    </row>
    <row r="103" spans="1:3" ht="13.5">
      <c r="A103" s="77"/>
      <c r="B103" s="256"/>
      <c r="C103" s="256"/>
    </row>
    <row r="104" spans="1:3" ht="13.5">
      <c r="A104" s="77"/>
      <c r="B104" s="77"/>
      <c r="C104" s="77"/>
    </row>
    <row r="105" spans="1:3" ht="13.5">
      <c r="A105" s="77"/>
      <c r="B105" s="77"/>
      <c r="C105" s="77"/>
    </row>
    <row r="106" spans="1:3" ht="13.5">
      <c r="A106" s="77"/>
      <c r="B106" s="77"/>
      <c r="C106" s="77"/>
    </row>
    <row r="107" spans="1:3" ht="13.5">
      <c r="A107" s="77"/>
      <c r="B107" s="77"/>
      <c r="C107" s="77"/>
    </row>
    <row r="108" spans="1:3" ht="13.5">
      <c r="A108" s="256"/>
      <c r="B108" s="256"/>
      <c r="C108" s="256"/>
    </row>
    <row r="109" spans="1:3" ht="13.5">
      <c r="A109" s="256"/>
      <c r="B109" s="256"/>
      <c r="C109" s="256"/>
    </row>
    <row r="110" spans="1:3" ht="13.5">
      <c r="A110" s="256"/>
      <c r="B110" s="256"/>
      <c r="C110" s="256"/>
    </row>
    <row r="111" spans="1:3" ht="13.5">
      <c r="A111" s="256"/>
      <c r="B111" s="256"/>
      <c r="C111" s="256"/>
    </row>
  </sheetData>
  <sheetProtection sheet="1" objects="1" scenarios="1" selectLockedCells="1"/>
  <mergeCells count="3">
    <mergeCell ref="F41:G45"/>
    <mergeCell ref="F47:G50"/>
    <mergeCell ref="F52:G55"/>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61"/>
  <sheetViews>
    <sheetView showGridLines="0" workbookViewId="0" topLeftCell="A22">
      <selection activeCell="K52" sqref="K52"/>
    </sheetView>
  </sheetViews>
  <sheetFormatPr defaultColWidth="9.00390625" defaultRowHeight="13.5"/>
  <cols>
    <col min="1" max="1" width="2.25390625" style="0" customWidth="1"/>
    <col min="2" max="2" width="4.125" style="0" customWidth="1"/>
    <col min="3" max="3" width="2.375" style="0" customWidth="1"/>
    <col min="4" max="4" width="3.625" style="89" customWidth="1"/>
    <col min="5" max="5" width="13.625" style="0" customWidth="1"/>
    <col min="6" max="6" width="3.125" style="0" customWidth="1"/>
    <col min="7" max="7" width="14.25390625" style="0" customWidth="1"/>
    <col min="8" max="8" width="4.375" style="0" customWidth="1"/>
    <col min="9" max="9" width="13.625" style="0" customWidth="1"/>
    <col min="10" max="10" width="3.125" style="0" customWidth="1"/>
    <col min="11" max="11" width="13.625" style="0" customWidth="1"/>
    <col min="12" max="12" width="3.125" style="0" customWidth="1"/>
    <col min="13" max="13" width="8.00390625" style="0" customWidth="1"/>
    <col min="14" max="16" width="3.125" style="0" customWidth="1"/>
  </cols>
  <sheetData>
    <row r="1" spans="1:6" ht="13.5">
      <c r="A1" t="s">
        <v>214</v>
      </c>
      <c r="F1" s="41"/>
    </row>
    <row r="3" spans="1:5" ht="13.5">
      <c r="A3" s="63" t="s">
        <v>203</v>
      </c>
      <c r="B3" s="63"/>
      <c r="C3" s="63"/>
      <c r="E3" s="63" t="s">
        <v>202</v>
      </c>
    </row>
    <row r="4" spans="1:9" ht="13.5">
      <c r="A4" t="str">
        <f>CONCATENATE('入力(文系・総合)'!C1)</f>
        <v>07?????</v>
      </c>
      <c r="E4" t="str">
        <f>CONCATENATE('入力(文系・総合)'!G1)</f>
        <v>名前を入力</v>
      </c>
      <c r="H4" s="124" t="s">
        <v>248</v>
      </c>
      <c r="I4" s="1" t="s">
        <v>32</v>
      </c>
    </row>
    <row r="5" spans="8:9" ht="13.5">
      <c r="H5" s="93"/>
      <c r="I5" t="s">
        <v>261</v>
      </c>
    </row>
    <row r="6" spans="1:9" ht="14.25" thickBot="1">
      <c r="A6" s="309" t="s">
        <v>236</v>
      </c>
      <c r="B6" s="310"/>
      <c r="C6" s="310"/>
      <c r="D6" s="310"/>
      <c r="E6" s="310"/>
      <c r="F6" s="1"/>
      <c r="G6" s="3"/>
      <c r="H6" s="157"/>
      <c r="I6" t="s">
        <v>260</v>
      </c>
    </row>
    <row r="7" spans="2:16" ht="14.25" thickTop="1">
      <c r="B7" s="313" t="s">
        <v>220</v>
      </c>
      <c r="C7" s="171" t="str">
        <f>IF(H7&gt;15,"○","×")</f>
        <v>×</v>
      </c>
      <c r="D7" s="152" t="s">
        <v>219</v>
      </c>
      <c r="E7" s="318" t="s">
        <v>97</v>
      </c>
      <c r="F7" s="319"/>
      <c r="G7" s="135" t="s">
        <v>228</v>
      </c>
      <c r="H7" s="146">
        <f>'入力不可1'!T55</f>
        <v>0</v>
      </c>
      <c r="I7" s="136"/>
      <c r="J7" s="136"/>
      <c r="K7" s="136"/>
      <c r="L7" s="134"/>
      <c r="M7" s="137"/>
      <c r="N7" s="137"/>
      <c r="O7" s="137"/>
      <c r="P7" s="138"/>
    </row>
    <row r="8" spans="1:16" ht="13.5">
      <c r="A8" s="1"/>
      <c r="B8" s="314"/>
      <c r="C8" s="172" t="str">
        <f>IF(AND(J8&gt;17,P8&gt;11),"○","×")</f>
        <v>×</v>
      </c>
      <c r="D8" s="153" t="s">
        <v>219</v>
      </c>
      <c r="E8" s="316" t="s">
        <v>227</v>
      </c>
      <c r="F8" s="317"/>
      <c r="G8" s="317"/>
      <c r="H8" s="142"/>
      <c r="I8" s="103" t="s">
        <v>249</v>
      </c>
      <c r="J8" s="143">
        <f>'入力不可1'!T47</f>
        <v>0</v>
      </c>
      <c r="K8" s="326" t="s">
        <v>408</v>
      </c>
      <c r="L8" s="327"/>
      <c r="M8" s="327"/>
      <c r="N8" s="327"/>
      <c r="O8" s="328"/>
      <c r="P8" s="273">
        <f>'入力不可1'!T44</f>
        <v>0</v>
      </c>
    </row>
    <row r="9" spans="2:16" ht="14.25" thickBot="1">
      <c r="B9" s="315"/>
      <c r="C9" s="173" t="str">
        <f>IF(N9&gt;0,"○","×")</f>
        <v>×</v>
      </c>
      <c r="D9" s="154" t="s">
        <v>218</v>
      </c>
      <c r="E9" s="347" t="s">
        <v>467</v>
      </c>
      <c r="F9" s="348"/>
      <c r="G9" s="348"/>
      <c r="H9" s="348"/>
      <c r="I9" s="348"/>
      <c r="J9" s="348"/>
      <c r="K9" s="348"/>
      <c r="L9" s="349"/>
      <c r="M9" s="94" t="s">
        <v>235</v>
      </c>
      <c r="N9" s="158">
        <f>'入力不可2'!L4</f>
        <v>0</v>
      </c>
      <c r="O9" s="59"/>
      <c r="P9" s="60"/>
    </row>
    <row r="10" spans="1:16" ht="15" thickBot="1" thickTop="1">
      <c r="A10" s="1"/>
      <c r="B10" s="269" t="s">
        <v>221</v>
      </c>
      <c r="C10" s="171" t="str">
        <f>IF(AND(F10="○",H10="○",J10="○"),"○","×")</f>
        <v>×</v>
      </c>
      <c r="D10" s="145" t="s">
        <v>219</v>
      </c>
      <c r="E10" s="92" t="str">
        <f>CONCATENATE('入力不可1'!W14)</f>
        <v>環境計画演習</v>
      </c>
      <c r="F10" s="176" t="str">
        <f>IF('入力不可1'!Y14&gt;59,"○","×")</f>
        <v>×</v>
      </c>
      <c r="G10" s="92" t="str">
        <f>CONCATENATE('入力不可1'!W30)</f>
        <v>ｲﾝﾌﾗｽﾄﾗｸﾁｬｰの計画と設計</v>
      </c>
      <c r="H10" s="176" t="str">
        <f>IF('入力不可1'!Y30&gt;59,"○","×")</f>
        <v>×</v>
      </c>
      <c r="I10" s="97" t="str">
        <f>CONCATENATE('入力不可1'!W54)</f>
        <v>土木史・土木技術者倫理</v>
      </c>
      <c r="J10" s="176" t="str">
        <f>IF('入力不可1'!Y54&gt;59,"○","×")</f>
        <v>×</v>
      </c>
      <c r="K10" s="97"/>
      <c r="L10" s="98"/>
      <c r="M10" s="98"/>
      <c r="N10" s="98"/>
      <c r="O10" s="44"/>
      <c r="P10" s="57"/>
    </row>
    <row r="11" spans="2:16" ht="14.25" thickTop="1">
      <c r="B11" s="335" t="s">
        <v>226</v>
      </c>
      <c r="C11" s="171" t="str">
        <f>IF(AND(F11="○",H11="○",J11="○",L11="○"),"○","×")</f>
        <v>×</v>
      </c>
      <c r="D11" s="145" t="s">
        <v>219</v>
      </c>
      <c r="E11" s="92" t="str">
        <f>CONCATENATE('入力不可1'!W14)</f>
        <v>環境計画演習</v>
      </c>
      <c r="F11" s="177" t="str">
        <f>IF('入力不可1'!Y14&gt;59,"○","×")</f>
        <v>×</v>
      </c>
      <c r="G11" s="92" t="str">
        <f>CONCATENATE('入力不可1'!W30)</f>
        <v>ｲﾝﾌﾗｽﾄﾗｸﾁｬｰの計画と設計</v>
      </c>
      <c r="H11" s="177" t="str">
        <f>IF('入力不可1'!Y30&gt;59,"○","×")</f>
        <v>×</v>
      </c>
      <c r="I11" s="92" t="str">
        <f>CONCATENATE('入力不可1'!W75)</f>
        <v>土木・環境工学特別演習</v>
      </c>
      <c r="J11" s="177" t="str">
        <f>IF('入力不可1'!Y75&gt;59,"○","×")</f>
        <v>×</v>
      </c>
      <c r="K11" s="96" t="s">
        <v>229</v>
      </c>
      <c r="L11" s="177" t="str">
        <f>IF('入力不可1'!Z97&gt;0,"○","×")</f>
        <v>×</v>
      </c>
      <c r="M11" s="98"/>
      <c r="N11" s="98"/>
      <c r="O11" s="44"/>
      <c r="P11" s="57"/>
    </row>
    <row r="12" spans="2:16" ht="14.25" thickBot="1">
      <c r="B12" s="336"/>
      <c r="C12" s="173" t="str">
        <f>IF(N12&gt;0,"○","×")</f>
        <v>×</v>
      </c>
      <c r="D12" s="154" t="s">
        <v>218</v>
      </c>
      <c r="E12" s="91" t="s">
        <v>449</v>
      </c>
      <c r="F12" s="95"/>
      <c r="G12" s="95"/>
      <c r="H12" s="99"/>
      <c r="I12" s="95"/>
      <c r="J12" s="95"/>
      <c r="K12" s="95"/>
      <c r="L12" s="95"/>
      <c r="M12" s="94" t="s">
        <v>235</v>
      </c>
      <c r="N12" s="158">
        <f>'入力不可2'!I10</f>
        <v>0</v>
      </c>
      <c r="O12" s="59"/>
      <c r="P12" s="60"/>
    </row>
    <row r="13" spans="2:16" ht="19.5" customHeight="1" thickBot="1" thickTop="1">
      <c r="B13" s="274" t="s">
        <v>231</v>
      </c>
      <c r="C13" s="171" t="str">
        <f>IF(AND(OR(J13="○",L13="○"),P13="○"),"○","×")</f>
        <v>×</v>
      </c>
      <c r="D13" s="145" t="s">
        <v>219</v>
      </c>
      <c r="E13" s="92" t="s">
        <v>230</v>
      </c>
      <c r="F13" s="98"/>
      <c r="G13" s="98"/>
      <c r="H13" s="104"/>
      <c r="I13" s="140" t="s">
        <v>420</v>
      </c>
      <c r="J13" s="276" t="str">
        <f>IF(AND('入力不可1'!T49&gt;9,'入力不可1'!T50&gt;3),"○","×")</f>
        <v>×</v>
      </c>
      <c r="K13" s="96" t="s">
        <v>461</v>
      </c>
      <c r="L13" s="276" t="str">
        <f>IF(AND('入力不可1'!T49&gt;7,'入力不可1'!T50&gt;5),"○","×")</f>
        <v>×</v>
      </c>
      <c r="M13" s="329" t="s">
        <v>421</v>
      </c>
      <c r="N13" s="330"/>
      <c r="O13" s="330"/>
      <c r="P13" s="277" t="str">
        <f>IF('入力不可1'!T53&gt;1,"○","×")</f>
        <v>×</v>
      </c>
    </row>
    <row r="14" spans="2:16" ht="15" thickBot="1" thickTop="1">
      <c r="B14" s="275"/>
      <c r="C14" s="173" t="str">
        <f>IF(P14="○","○","×")</f>
        <v>×</v>
      </c>
      <c r="D14" s="154" t="s">
        <v>219</v>
      </c>
      <c r="E14" s="91" t="s">
        <v>450</v>
      </c>
      <c r="F14" s="95"/>
      <c r="G14" s="95"/>
      <c r="H14" s="95"/>
      <c r="I14" s="95"/>
      <c r="J14" s="95"/>
      <c r="K14" s="95"/>
      <c r="L14" s="95"/>
      <c r="M14" s="97" t="str">
        <f>CONCATENATE('入力不可1'!W68)</f>
        <v>科学技術者実践英語</v>
      </c>
      <c r="N14" s="280"/>
      <c r="O14" s="281"/>
      <c r="P14" s="178" t="str">
        <f>IF(OR('入力不可1'!Y68&gt;59,'入力(専門科目)'!G33&gt;59),"○","×")</f>
        <v>×</v>
      </c>
    </row>
    <row r="15" spans="2:16" ht="14.25" thickTop="1">
      <c r="B15" s="337" t="s">
        <v>222</v>
      </c>
      <c r="C15" s="171" t="str">
        <f>IF(H15&gt;28,"○","×")</f>
        <v>×</v>
      </c>
      <c r="D15" s="145" t="s">
        <v>217</v>
      </c>
      <c r="E15" s="92" t="s">
        <v>172</v>
      </c>
      <c r="F15" s="98"/>
      <c r="G15" s="140" t="s">
        <v>228</v>
      </c>
      <c r="H15" s="141">
        <f>'入力不可1'!Z94</f>
        <v>0</v>
      </c>
      <c r="I15" s="324" t="s">
        <v>250</v>
      </c>
      <c r="J15" s="325"/>
      <c r="K15" s="106" t="s">
        <v>232</v>
      </c>
      <c r="L15" s="160">
        <f>'入力不可2'!I19</f>
        <v>0</v>
      </c>
      <c r="M15" s="322" t="s">
        <v>19</v>
      </c>
      <c r="N15" s="323"/>
      <c r="O15" s="160">
        <f>'入力不可2'!L19</f>
        <v>0</v>
      </c>
      <c r="P15" s="138"/>
    </row>
    <row r="16" spans="2:16" ht="14.25" thickBot="1">
      <c r="B16" s="338"/>
      <c r="C16" s="173" t="str">
        <f>IF('入力不可2'!M23&gt;3,"○","×")</f>
        <v>×</v>
      </c>
      <c r="D16" s="155" t="s">
        <v>217</v>
      </c>
      <c r="E16" s="148" t="s">
        <v>206</v>
      </c>
      <c r="F16" s="139"/>
      <c r="G16" s="130" t="s">
        <v>17</v>
      </c>
      <c r="H16" s="159">
        <f>'入力不可2'!F19</f>
        <v>0</v>
      </c>
      <c r="I16" s="130" t="s">
        <v>20</v>
      </c>
      <c r="J16" s="159">
        <f>'入力不可2'!D24</f>
        <v>0</v>
      </c>
      <c r="K16" s="130" t="s">
        <v>21</v>
      </c>
      <c r="L16" s="159">
        <f>'入力不可2'!G24</f>
        <v>0</v>
      </c>
      <c r="M16" s="305" t="s">
        <v>446</v>
      </c>
      <c r="N16" s="305"/>
      <c r="O16" s="282">
        <f>'入力不可2'!J24</f>
        <v>0</v>
      </c>
      <c r="P16" s="56"/>
    </row>
    <row r="17" spans="2:16" ht="14.25" thickTop="1">
      <c r="B17" s="339" t="s">
        <v>223</v>
      </c>
      <c r="C17" s="171" t="str">
        <f>IF(H17&gt;19,"○","×")</f>
        <v>×</v>
      </c>
      <c r="D17" s="145" t="s">
        <v>217</v>
      </c>
      <c r="E17" s="92" t="s">
        <v>173</v>
      </c>
      <c r="F17" s="98"/>
      <c r="G17" s="140" t="s">
        <v>228</v>
      </c>
      <c r="H17" s="146">
        <f>'入力不可1'!Z95</f>
        <v>0</v>
      </c>
      <c r="I17" s="44"/>
      <c r="J17" s="44"/>
      <c r="K17" s="44"/>
      <c r="L17" s="44"/>
      <c r="M17" s="98"/>
      <c r="N17" s="98"/>
      <c r="O17" s="44"/>
      <c r="P17" s="57"/>
    </row>
    <row r="18" spans="2:16" ht="14.25" thickBot="1">
      <c r="B18" s="338"/>
      <c r="C18" s="174" t="str">
        <f>IF('入力不可1'!Z97&gt;0,"○","×")</f>
        <v>×</v>
      </c>
      <c r="D18" s="155" t="s">
        <v>219</v>
      </c>
      <c r="E18" s="144" t="s">
        <v>105</v>
      </c>
      <c r="F18" s="139"/>
      <c r="G18" s="139"/>
      <c r="H18" s="139"/>
      <c r="I18" s="139"/>
      <c r="J18" s="139"/>
      <c r="K18" s="139"/>
      <c r="L18" s="139"/>
      <c r="M18" s="139"/>
      <c r="N18" s="139"/>
      <c r="O18" s="58"/>
      <c r="P18" s="56"/>
    </row>
    <row r="19" spans="1:16" ht="14.25" thickTop="1">
      <c r="A19" s="52"/>
      <c r="B19" s="337" t="s">
        <v>212</v>
      </c>
      <c r="C19" s="320" t="str">
        <f>IF(AND(F19="○",H19="○",J19="○",L19="○",F20="○",H20="○",J20="○",L20="○"),"○","×")</f>
        <v>×</v>
      </c>
      <c r="D19" s="350" t="s">
        <v>219</v>
      </c>
      <c r="E19" s="133" t="str">
        <f>CONCATENATE('入力不可1'!W14)</f>
        <v>環境計画演習</v>
      </c>
      <c r="F19" s="179" t="str">
        <f>IF('入力不可1'!Y14&gt;59,"○","×")</f>
        <v>×</v>
      </c>
      <c r="G19" s="133" t="str">
        <f>CONCATENATE('入力不可1'!W30)</f>
        <v>ｲﾝﾌﾗｽﾄﾗｸﾁｬｰの計画と設計</v>
      </c>
      <c r="H19" s="183" t="str">
        <f>IF('入力不可1'!Y30&gt;59,"○","×")</f>
        <v>×</v>
      </c>
      <c r="I19" s="106" t="str">
        <f>CONCATENATE('入力不可1'!W46)</f>
        <v>コンクリート工学実験</v>
      </c>
      <c r="J19" s="183" t="str">
        <f>IF('入力不可1'!Y46&gt;59,"○","×")</f>
        <v>×</v>
      </c>
      <c r="K19" s="106" t="str">
        <f>CONCATENATE('入力不可1'!W69)</f>
        <v>構造力学実験</v>
      </c>
      <c r="L19" s="183" t="str">
        <f>IF('入力不可1'!Y69&gt;59,"○","×")</f>
        <v>×</v>
      </c>
      <c r="M19" s="134"/>
      <c r="N19" s="134"/>
      <c r="O19" s="137"/>
      <c r="P19" s="138"/>
    </row>
    <row r="20" spans="1:16" ht="13.5">
      <c r="A20" s="42"/>
      <c r="B20" s="340"/>
      <c r="C20" s="341"/>
      <c r="D20" s="351"/>
      <c r="E20" s="131" t="str">
        <f>CONCATENATE('入力不可1'!W75)</f>
        <v>土木・環境工学特別演習</v>
      </c>
      <c r="F20" s="180" t="str">
        <f>IF('入力不可1'!Y75&gt;59,"○","×")</f>
        <v>×</v>
      </c>
      <c r="G20" s="132" t="s">
        <v>233</v>
      </c>
      <c r="H20" s="184" t="str">
        <f>IF('入力不可1'!Z97&gt;0,"○","×")</f>
        <v>×</v>
      </c>
      <c r="I20" s="132" t="str">
        <f>CONCATENATE('入力不可1'!W47)</f>
        <v>地盤工学実験</v>
      </c>
      <c r="J20" s="266" t="str">
        <f>IF('入力不可1'!Y47&gt;59,"○","×")</f>
        <v>×</v>
      </c>
      <c r="K20" s="267" t="str">
        <f>CONCATENATE('入力不可1'!W70)</f>
        <v>水理学実験</v>
      </c>
      <c r="L20" s="266" t="str">
        <f>IF('入力不可1'!Y70&gt;59,"○","×")</f>
        <v>×</v>
      </c>
      <c r="M20" s="147"/>
      <c r="N20" s="147"/>
      <c r="O20" s="149"/>
      <c r="P20" s="150"/>
    </row>
    <row r="21" spans="2:16" ht="14.25" thickBot="1">
      <c r="B21" s="338"/>
      <c r="C21" s="173" t="str">
        <f>IF(N21&gt;0,"○","×")</f>
        <v>×</v>
      </c>
      <c r="D21" s="154" t="s">
        <v>217</v>
      </c>
      <c r="E21" s="91" t="s">
        <v>451</v>
      </c>
      <c r="F21" s="99"/>
      <c r="G21" s="99"/>
      <c r="H21" s="95"/>
      <c r="I21" s="95"/>
      <c r="J21" s="95"/>
      <c r="K21" s="95"/>
      <c r="L21" s="95"/>
      <c r="M21" s="94" t="s">
        <v>234</v>
      </c>
      <c r="N21" s="158">
        <f>'入力不可2'!I28</f>
        <v>0</v>
      </c>
      <c r="O21" s="59"/>
      <c r="P21" s="60"/>
    </row>
    <row r="22" spans="1:16" ht="14.25" thickTop="1">
      <c r="A22" s="2"/>
      <c r="B22" s="337" t="s">
        <v>463</v>
      </c>
      <c r="C22" s="287" t="str">
        <f>IF(AND(F22="○",H22="○",J22="○"),"○","×")</f>
        <v>×</v>
      </c>
      <c r="D22" s="145" t="s">
        <v>219</v>
      </c>
      <c r="E22" s="92" t="str">
        <f>CONCATENATE('入力不可1'!W14)</f>
        <v>環境計画演習</v>
      </c>
      <c r="F22" s="176" t="str">
        <f>IF('入力不可1'!Y14&gt;59,"○","×")</f>
        <v>×</v>
      </c>
      <c r="G22" s="92" t="str">
        <f>CONCATENATE('入力不可1'!W30)</f>
        <v>ｲﾝﾌﾗｽﾄﾗｸﾁｬｰの計画と設計</v>
      </c>
      <c r="H22" s="177" t="str">
        <f>IF('入力不可1'!Y30&gt;59,"○","×")</f>
        <v>×</v>
      </c>
      <c r="I22" s="96" t="s">
        <v>229</v>
      </c>
      <c r="J22" s="177" t="str">
        <f>IF('入力不可1'!Z97&gt;0,"○","×")</f>
        <v>×</v>
      </c>
      <c r="K22" s="98"/>
      <c r="L22" s="98"/>
      <c r="M22" s="98"/>
      <c r="N22" s="98"/>
      <c r="O22" s="44"/>
      <c r="P22" s="57"/>
    </row>
    <row r="23" spans="1:16" ht="14.25" thickBot="1">
      <c r="A23" s="52"/>
      <c r="B23" s="338"/>
      <c r="C23" s="173" t="str">
        <f>IF(N23&gt;0,"○","×")</f>
        <v>×</v>
      </c>
      <c r="D23" s="154" t="s">
        <v>217</v>
      </c>
      <c r="E23" s="100" t="s">
        <v>452</v>
      </c>
      <c r="F23" s="95"/>
      <c r="G23" s="95"/>
      <c r="H23" s="95"/>
      <c r="I23" s="95"/>
      <c r="J23" s="95"/>
      <c r="K23" s="95"/>
      <c r="L23" s="95"/>
      <c r="M23" s="94" t="s">
        <v>235</v>
      </c>
      <c r="N23" s="158">
        <f>'入力不可2'!I32</f>
        <v>0</v>
      </c>
      <c r="O23" s="59"/>
      <c r="P23" s="60"/>
    </row>
    <row r="24" spans="2:16" ht="15" thickBot="1" thickTop="1">
      <c r="B24" s="151" t="s">
        <v>224</v>
      </c>
      <c r="C24" s="175" t="str">
        <f>IF(AND(F24="○",H24="○",J24="○"),"○","×")</f>
        <v>×</v>
      </c>
      <c r="D24" s="156" t="s">
        <v>219</v>
      </c>
      <c r="E24" s="101" t="str">
        <f>CONCATENATE('入力不可1'!W27)</f>
        <v>測量学実習</v>
      </c>
      <c r="F24" s="181" t="str">
        <f>IF('入力不可1'!Y27&gt;59,"○","×")</f>
        <v>×</v>
      </c>
      <c r="G24" s="105" t="str">
        <f>CONCATENATE('入力不可1'!W75)</f>
        <v>土木・環境工学特別演習</v>
      </c>
      <c r="H24" s="185" t="str">
        <f>IF('入力不可1'!Y75&gt;59,"○","×")</f>
        <v>×</v>
      </c>
      <c r="I24" s="105" t="s">
        <v>229</v>
      </c>
      <c r="J24" s="185" t="str">
        <f>IF('入力不可1'!Z97&gt;0,"○","×")</f>
        <v>×</v>
      </c>
      <c r="K24" s="102"/>
      <c r="L24" s="102"/>
      <c r="M24" s="102"/>
      <c r="N24" s="102"/>
      <c r="O24" s="45"/>
      <c r="P24" s="61"/>
    </row>
    <row r="25" spans="2:16" ht="14.25" thickTop="1">
      <c r="B25" s="337" t="s">
        <v>225</v>
      </c>
      <c r="C25" s="320" t="str">
        <f>IF(AND(F25="○",H25="○",J25="○",F26="○",H26="○",J26="○",L26="○"),"○","×")</f>
        <v>×</v>
      </c>
      <c r="D25" s="311" t="s">
        <v>219</v>
      </c>
      <c r="E25" s="133" t="str">
        <f>CONCATENATE('入力不可1'!W14)</f>
        <v>環境計画演習</v>
      </c>
      <c r="F25" s="179" t="str">
        <f>IF('入力不可1'!Y14&gt;59,"○","×")</f>
        <v>×</v>
      </c>
      <c r="G25" s="133" t="str">
        <f>CONCATENATE('入力不可1'!W30)</f>
        <v>ｲﾝﾌﾗｽﾄﾗｸﾁｬｰの計画と設計</v>
      </c>
      <c r="H25" s="183" t="str">
        <f>IF('入力不可1'!Y30&gt;59,"○","×")</f>
        <v>×</v>
      </c>
      <c r="I25" s="106" t="str">
        <f>CONCATENATE('入力不可1'!W27)</f>
        <v>測量学実習</v>
      </c>
      <c r="J25" s="179" t="str">
        <f>IF('入力不可1'!Y27&gt;59,"○","×")</f>
        <v>×</v>
      </c>
      <c r="K25" s="136" t="str">
        <f>CONCATENATE('入力不可1'!W54)</f>
        <v>土木史・土木技術者倫理</v>
      </c>
      <c r="L25" s="179" t="str">
        <f>IF('入力不可1'!Y54&gt;59,"○","×")</f>
        <v>×</v>
      </c>
      <c r="M25" s="134"/>
      <c r="N25" s="134"/>
      <c r="O25" s="137"/>
      <c r="P25" s="138"/>
    </row>
    <row r="26" spans="1:16" ht="14.25" thickBot="1">
      <c r="A26" s="42"/>
      <c r="B26" s="338"/>
      <c r="C26" s="321"/>
      <c r="D26" s="312"/>
      <c r="E26" s="144" t="str">
        <f>CONCATENATE('入力不可1'!W46)</f>
        <v>コンクリート工学実験</v>
      </c>
      <c r="F26" s="182" t="str">
        <f>IF('入力不可1'!Y46&gt;59,"○","×")</f>
        <v>×</v>
      </c>
      <c r="G26" s="130" t="str">
        <f>CONCATENATE('入力不可1'!W47)</f>
        <v>地盤工学実験</v>
      </c>
      <c r="H26" s="182" t="str">
        <f>IF('入力不可1'!Y47&gt;59,"○","×")</f>
        <v>×</v>
      </c>
      <c r="I26" s="130" t="str">
        <f>CONCATENATE('入力不可1'!W69)</f>
        <v>構造力学実験</v>
      </c>
      <c r="J26" s="182" t="str">
        <f>IF('入力不可1'!Y69&gt;59,"○","×")</f>
        <v>×</v>
      </c>
      <c r="K26" s="130" t="str">
        <f>CONCATENATE('入力不可1'!W70)</f>
        <v>水理学実験</v>
      </c>
      <c r="L26" s="182" t="str">
        <f>IF('入力不可1'!Y70&gt;59,"○","×")</f>
        <v>×</v>
      </c>
      <c r="M26" s="139"/>
      <c r="N26" s="139"/>
      <c r="O26" s="58"/>
      <c r="P26" s="56"/>
    </row>
    <row r="27" spans="1:7" ht="14.25" thickTop="1">
      <c r="A27" s="42"/>
      <c r="B27" s="1"/>
      <c r="F27" s="1"/>
      <c r="G27" s="1"/>
    </row>
    <row r="28" spans="1:8" ht="14.25" thickBot="1">
      <c r="A28" s="342" t="s">
        <v>262</v>
      </c>
      <c r="B28" s="343"/>
      <c r="C28" s="344"/>
      <c r="D28" s="344"/>
      <c r="E28" s="344"/>
      <c r="F28" s="1"/>
      <c r="G28" s="6"/>
      <c r="H28" s="1"/>
    </row>
    <row r="29" spans="2:12" ht="14.25" thickTop="1">
      <c r="B29" s="3"/>
      <c r="C29" s="186" t="str">
        <f>IF('入力不可1'!T57&gt;2,"○","×")</f>
        <v>×</v>
      </c>
      <c r="D29" s="49" t="s">
        <v>168</v>
      </c>
      <c r="E29" s="44"/>
      <c r="F29" s="54"/>
      <c r="G29" s="55"/>
      <c r="H29" s="54"/>
      <c r="I29" s="188"/>
      <c r="J29" s="189"/>
      <c r="K29" s="190"/>
      <c r="L29" s="39"/>
    </row>
    <row r="30" spans="3:12" ht="14.25" thickBot="1">
      <c r="C30" s="187" t="str">
        <f>IF('入力不可1'!T65&gt;123,"○","×")</f>
        <v>×</v>
      </c>
      <c r="D30" s="166" t="s">
        <v>98</v>
      </c>
      <c r="E30" s="167"/>
      <c r="F30" s="168"/>
      <c r="G30" s="169" t="s">
        <v>251</v>
      </c>
      <c r="H30" s="170">
        <f>'入力不可1'!T65</f>
        <v>0</v>
      </c>
      <c r="I30" s="56"/>
      <c r="J30" s="191"/>
      <c r="K30" s="39"/>
      <c r="L30" s="39"/>
    </row>
    <row r="31" ht="14.25" thickTop="1"/>
    <row r="32" spans="1:10" ht="14.25" thickBot="1">
      <c r="A32" s="62" t="s">
        <v>99</v>
      </c>
      <c r="B32" s="161"/>
      <c r="C32" s="162"/>
      <c r="D32" s="90"/>
      <c r="E32" s="163"/>
      <c r="F32" s="1"/>
      <c r="G32" s="6"/>
      <c r="H32" s="1"/>
      <c r="I32" s="87"/>
      <c r="J32" s="51" t="s">
        <v>266</v>
      </c>
    </row>
    <row r="33" spans="1:10" ht="14.25" thickTop="1">
      <c r="A33" s="345" t="s">
        <v>171</v>
      </c>
      <c r="B33" s="346"/>
      <c r="C33" s="308"/>
      <c r="D33" s="53" t="str">
        <f>IF((J8&gt;13),"○","×")</f>
        <v>×</v>
      </c>
      <c r="E33" s="49" t="s">
        <v>174</v>
      </c>
      <c r="F33" s="54"/>
      <c r="G33" s="54"/>
      <c r="H33" s="54"/>
      <c r="I33" s="54"/>
      <c r="J33" s="195">
        <f>J8</f>
        <v>0</v>
      </c>
    </row>
    <row r="34" spans="4:10" ht="13.5">
      <c r="D34" s="193" t="str">
        <f>IF(OR(AND('入力不可1'!T49-'入力不可1'!T53&gt;7,'入力不可1'!T50&gt;3),AND('入力不可1'!T49-'入力不可1'!T53&gt;5,'入力不可1'!T50&gt;5)),"○","×")</f>
        <v>×</v>
      </c>
      <c r="E34" s="192" t="s">
        <v>430</v>
      </c>
      <c r="F34" s="190"/>
      <c r="G34" s="190"/>
      <c r="H34" s="190"/>
      <c r="I34" s="190"/>
      <c r="J34" s="196">
        <f>'入力不可1'!T49+'入力不可1'!T50</f>
        <v>0</v>
      </c>
    </row>
    <row r="35" spans="2:10" ht="13.5">
      <c r="B35" s="37"/>
      <c r="D35" s="46" t="str">
        <f>IF(H7&gt;15,"○","×")</f>
        <v>×</v>
      </c>
      <c r="E35" s="50" t="s">
        <v>97</v>
      </c>
      <c r="F35" s="47"/>
      <c r="G35" s="47"/>
      <c r="H35" s="47"/>
      <c r="I35" s="47"/>
      <c r="J35" s="196">
        <f>H7</f>
        <v>0</v>
      </c>
    </row>
    <row r="36" spans="2:13" ht="14.25" thickBot="1">
      <c r="B36" s="1"/>
      <c r="D36" s="193" t="str">
        <f>IF('入力不可1'!T57&gt;2,"○","×")</f>
        <v>×</v>
      </c>
      <c r="E36" s="192" t="s">
        <v>168</v>
      </c>
      <c r="F36" s="190"/>
      <c r="G36" s="190"/>
      <c r="H36" s="190"/>
      <c r="I36" s="190"/>
      <c r="J36" s="197">
        <f>'入力不可1'!T57</f>
        <v>0</v>
      </c>
      <c r="K36" s="39"/>
      <c r="L36" s="39"/>
      <c r="M36" s="39"/>
    </row>
    <row r="37" spans="1:13" ht="14.25" thickTop="1">
      <c r="A37" s="306" t="s">
        <v>263</v>
      </c>
      <c r="B37" s="307"/>
      <c r="C37" s="308"/>
      <c r="D37" s="194"/>
      <c r="E37" s="164" t="s">
        <v>164</v>
      </c>
      <c r="F37" s="165"/>
      <c r="G37" s="165"/>
      <c r="H37" s="165"/>
      <c r="I37" s="165"/>
      <c r="J37" s="198"/>
      <c r="K37" s="39"/>
      <c r="L37" s="39"/>
      <c r="M37" s="39"/>
    </row>
    <row r="38" spans="4:13" ht="13.5">
      <c r="D38" s="46" t="str">
        <f>IF(('入力不可1'!Z93&gt;7),"○","×")</f>
        <v>×</v>
      </c>
      <c r="E38" s="50" t="s">
        <v>298</v>
      </c>
      <c r="F38" s="47"/>
      <c r="G38" s="43"/>
      <c r="H38" s="43"/>
      <c r="I38" s="43"/>
      <c r="J38" s="199">
        <f>'入力不可1'!Z93</f>
        <v>0</v>
      </c>
      <c r="K38" s="39"/>
      <c r="L38" s="39"/>
      <c r="M38" s="39"/>
    </row>
    <row r="39" spans="4:13" ht="13.5">
      <c r="D39" s="193" t="str">
        <f>IF('入力不可1'!Z94&gt;25,"○","×")</f>
        <v>×</v>
      </c>
      <c r="E39" s="192" t="s">
        <v>267</v>
      </c>
      <c r="F39" s="190"/>
      <c r="G39" s="39"/>
      <c r="H39" s="43"/>
      <c r="I39" s="39"/>
      <c r="J39" s="199">
        <f>'入力不可1'!Z94</f>
        <v>0</v>
      </c>
      <c r="K39" s="39"/>
      <c r="L39" s="39"/>
      <c r="M39" s="39"/>
    </row>
    <row r="40" spans="4:13" ht="13.5">
      <c r="D40" s="46" t="str">
        <f>IF('入力不可1'!Z95&gt;17,"○","×")</f>
        <v>×</v>
      </c>
      <c r="E40" s="50" t="s">
        <v>204</v>
      </c>
      <c r="F40" s="47"/>
      <c r="G40" s="47"/>
      <c r="H40" s="43"/>
      <c r="I40" s="43"/>
      <c r="J40" s="199">
        <f>'入力不可1'!Z95</f>
        <v>0</v>
      </c>
      <c r="K40" s="39"/>
      <c r="L40" s="39"/>
      <c r="M40" s="39"/>
    </row>
    <row r="41" spans="4:13" ht="14.25" thickBot="1">
      <c r="D41" s="268" t="str">
        <f>IF(J41="○","○","×")</f>
        <v>×</v>
      </c>
      <c r="E41" s="166" t="str">
        <f>CONCATENATE('入力不可1'!W68)</f>
        <v>科学技術者実践英語</v>
      </c>
      <c r="F41" s="168"/>
      <c r="G41" s="168"/>
      <c r="H41" s="58"/>
      <c r="I41" s="58"/>
      <c r="J41" s="294" t="str">
        <f>IF(OR('入力不可1'!Y68&gt;59,'入力(専門科目)'!G33&gt;59),"○","×")</f>
        <v>×</v>
      </c>
      <c r="K41" s="39"/>
      <c r="L41" s="39"/>
      <c r="M41" s="39"/>
    </row>
    <row r="42" spans="4:13" ht="14.25" thickTop="1">
      <c r="D42" s="230"/>
      <c r="E42" s="192"/>
      <c r="F42" s="190"/>
      <c r="G42" s="190"/>
      <c r="H42" s="39"/>
      <c r="I42" s="39"/>
      <c r="J42" s="231"/>
      <c r="K42" s="39"/>
      <c r="L42" s="39"/>
      <c r="M42" s="39"/>
    </row>
    <row r="43" spans="2:13" ht="27.75" customHeight="1">
      <c r="B43" s="283" t="s">
        <v>213</v>
      </c>
      <c r="C43" s="1" t="s">
        <v>276</v>
      </c>
      <c r="F43" s="1"/>
      <c r="G43" s="1"/>
      <c r="J43" s="42"/>
      <c r="K43" s="39"/>
      <c r="L43" s="39"/>
      <c r="M43" s="39"/>
    </row>
    <row r="44" spans="8:13" ht="14.25" thickBot="1">
      <c r="H44" s="200" t="s">
        <v>269</v>
      </c>
      <c r="K44" s="204" t="s">
        <v>271</v>
      </c>
      <c r="L44" s="39"/>
      <c r="M44" s="39"/>
    </row>
    <row r="45" spans="5:13" ht="14.25" thickTop="1">
      <c r="E45" s="216" t="s">
        <v>97</v>
      </c>
      <c r="F45" s="44"/>
      <c r="G45" s="217"/>
      <c r="H45" s="218">
        <f>H7</f>
        <v>0</v>
      </c>
      <c r="I45" s="218" t="s">
        <v>272</v>
      </c>
      <c r="J45" s="219"/>
      <c r="K45" s="220">
        <f>H45*11.25</f>
        <v>0</v>
      </c>
      <c r="L45" s="39"/>
      <c r="M45" s="39"/>
    </row>
    <row r="46" spans="1:12" ht="13.5">
      <c r="A46" s="333"/>
      <c r="B46" s="334"/>
      <c r="C46" s="41"/>
      <c r="D46" s="126"/>
      <c r="E46" s="221" t="s">
        <v>268</v>
      </c>
      <c r="F46" s="212"/>
      <c r="G46" s="211"/>
      <c r="H46" s="210">
        <f>IF('入力不可1'!T35-16&gt;0,'入力不可1'!T35-16,0)</f>
        <v>0</v>
      </c>
      <c r="I46" s="209" t="s">
        <v>272</v>
      </c>
      <c r="J46" s="214"/>
      <c r="K46" s="222">
        <f>H46*11.25</f>
        <v>0</v>
      </c>
      <c r="L46" s="41"/>
    </row>
    <row r="47" spans="1:12" ht="13.5" customHeight="1">
      <c r="A47" s="41"/>
      <c r="B47" s="127"/>
      <c r="C47" s="128"/>
      <c r="D47" s="129"/>
      <c r="E47" s="221" t="s">
        <v>475</v>
      </c>
      <c r="F47" s="212"/>
      <c r="G47" s="211"/>
      <c r="H47" s="210">
        <f>'入力不可2'!$N$38</f>
        <v>0</v>
      </c>
      <c r="I47" s="209" t="s">
        <v>272</v>
      </c>
      <c r="J47" s="214"/>
      <c r="K47" s="222">
        <f>H47*11.25</f>
        <v>0</v>
      </c>
      <c r="L47" s="41"/>
    </row>
    <row r="48" spans="1:12" ht="13.5">
      <c r="A48" s="41"/>
      <c r="B48" s="41"/>
      <c r="C48" s="128"/>
      <c r="D48" s="129"/>
      <c r="E48" s="370" t="s">
        <v>476</v>
      </c>
      <c r="F48" s="212"/>
      <c r="G48" s="211"/>
      <c r="H48" s="210">
        <f>'入力不可2'!M40</f>
        <v>0</v>
      </c>
      <c r="I48" s="209" t="s">
        <v>477</v>
      </c>
      <c r="J48" s="214"/>
      <c r="K48" s="371">
        <f>H48*5</f>
        <v>0</v>
      </c>
      <c r="L48" s="41"/>
    </row>
    <row r="49" spans="5:11" ht="27" customHeight="1">
      <c r="E49" s="331" t="s">
        <v>453</v>
      </c>
      <c r="F49" s="332"/>
      <c r="G49" s="332"/>
      <c r="H49" s="210">
        <f>'入力不可2'!H40</f>
        <v>0</v>
      </c>
      <c r="I49" s="209" t="s">
        <v>272</v>
      </c>
      <c r="J49" s="215"/>
      <c r="K49" s="222">
        <f>H49*11.25</f>
        <v>0</v>
      </c>
    </row>
    <row r="50" spans="1:11" ht="13.5">
      <c r="A50" s="39"/>
      <c r="B50" s="39"/>
      <c r="C50" s="201"/>
      <c r="D50" s="202"/>
      <c r="E50" s="221" t="s">
        <v>70</v>
      </c>
      <c r="F50" s="48"/>
      <c r="G50" s="213"/>
      <c r="H50" s="210">
        <f>'入力不可2'!I38</f>
        <v>0</v>
      </c>
      <c r="I50" s="210" t="s">
        <v>273</v>
      </c>
      <c r="J50" s="214"/>
      <c r="K50" s="223">
        <f>H50*1.5</f>
        <v>0</v>
      </c>
    </row>
    <row r="51" spans="1:11" ht="14.25" thickBot="1">
      <c r="A51" s="39"/>
      <c r="B51" s="203"/>
      <c r="C51" s="201"/>
      <c r="D51" s="202"/>
      <c r="E51" s="224" t="s">
        <v>270</v>
      </c>
      <c r="F51" s="59"/>
      <c r="G51" s="225"/>
      <c r="H51" s="226">
        <f>'入力不可2'!J38</f>
        <v>0</v>
      </c>
      <c r="I51" s="227" t="s">
        <v>273</v>
      </c>
      <c r="J51" s="228"/>
      <c r="K51" s="229">
        <f>H51*1.5</f>
        <v>0</v>
      </c>
    </row>
    <row r="52" spans="1:11" ht="14.25" thickTop="1">
      <c r="A52" s="39"/>
      <c r="B52" s="39"/>
      <c r="C52" s="201"/>
      <c r="D52" s="202"/>
      <c r="E52" s="201"/>
      <c r="F52" s="201"/>
      <c r="G52" s="11"/>
      <c r="I52" s="205" t="s">
        <v>275</v>
      </c>
      <c r="K52" s="204">
        <f>SUM(K45:K51)</f>
        <v>0</v>
      </c>
    </row>
    <row r="53" spans="1:16" ht="13.5">
      <c r="A53" s="39"/>
      <c r="B53" s="39"/>
      <c r="C53" s="42"/>
      <c r="D53" s="190"/>
      <c r="E53" s="201"/>
      <c r="F53" s="201"/>
      <c r="G53" s="11"/>
      <c r="L53" s="39"/>
      <c r="M53" s="39"/>
      <c r="N53" s="39"/>
      <c r="O53" s="39"/>
      <c r="P53" s="39"/>
    </row>
    <row r="54" spans="1:16" ht="13.5">
      <c r="A54" s="39"/>
      <c r="B54" s="203"/>
      <c r="C54" s="39"/>
      <c r="D54" s="190"/>
      <c r="E54" s="201"/>
      <c r="F54" s="201"/>
      <c r="G54" s="11"/>
      <c r="L54" s="39"/>
      <c r="M54" s="39"/>
      <c r="N54" s="39"/>
      <c r="O54" s="39"/>
      <c r="P54" s="39"/>
    </row>
    <row r="55" spans="5:16" ht="13.5">
      <c r="E55" s="42"/>
      <c r="F55" s="6"/>
      <c r="G55" s="42"/>
      <c r="H55" s="39"/>
      <c r="I55" s="39"/>
      <c r="J55" s="39"/>
      <c r="K55" s="39"/>
      <c r="L55" s="206"/>
      <c r="M55" s="206"/>
      <c r="N55" s="39"/>
      <c r="O55" s="39"/>
      <c r="P55" s="39"/>
    </row>
    <row r="56" spans="5:16" ht="13.5">
      <c r="E56" s="39"/>
      <c r="F56" s="39"/>
      <c r="G56" s="39"/>
      <c r="H56" s="39"/>
      <c r="I56" s="39"/>
      <c r="J56" s="39"/>
      <c r="K56" s="39"/>
      <c r="L56" s="42"/>
      <c r="M56" s="42"/>
      <c r="N56" s="39"/>
      <c r="O56" s="39"/>
      <c r="P56" s="39"/>
    </row>
    <row r="57" spans="7:16" ht="13.5">
      <c r="G57" s="39"/>
      <c r="H57" s="39"/>
      <c r="I57" s="206"/>
      <c r="J57" s="207"/>
      <c r="K57" s="208"/>
      <c r="L57" s="39"/>
      <c r="M57" s="39"/>
      <c r="N57" s="39"/>
      <c r="O57" s="39"/>
      <c r="P57" s="39"/>
    </row>
    <row r="58" spans="7:11" ht="13.5">
      <c r="G58" s="39"/>
      <c r="H58" s="39"/>
      <c r="I58" s="42"/>
      <c r="J58" s="190"/>
      <c r="K58" s="42"/>
    </row>
    <row r="59" spans="7:11" ht="13.5">
      <c r="G59" s="39"/>
      <c r="H59" s="39"/>
      <c r="I59" s="39"/>
      <c r="J59" s="39"/>
      <c r="K59" s="39"/>
    </row>
    <row r="60" ht="13.5">
      <c r="B60" s="41"/>
    </row>
    <row r="61" spans="1:2" ht="13.5">
      <c r="A61" s="4"/>
      <c r="B61" s="1"/>
    </row>
  </sheetData>
  <sheetProtection sheet="1" objects="1" scenarios="1" selectLockedCells="1" selectUnlockedCells="1"/>
  <mergeCells count="25">
    <mergeCell ref="C19:C20"/>
    <mergeCell ref="A28:E28"/>
    <mergeCell ref="A33:C33"/>
    <mergeCell ref="E9:L9"/>
    <mergeCell ref="D19:D20"/>
    <mergeCell ref="K8:O8"/>
    <mergeCell ref="M13:O13"/>
    <mergeCell ref="E49:G49"/>
    <mergeCell ref="A46:B46"/>
    <mergeCell ref="B11:B12"/>
    <mergeCell ref="B15:B16"/>
    <mergeCell ref="B17:B18"/>
    <mergeCell ref="B19:B21"/>
    <mergeCell ref="B22:B23"/>
    <mergeCell ref="B25:B26"/>
    <mergeCell ref="M16:N16"/>
    <mergeCell ref="A37:C37"/>
    <mergeCell ref="A6:E6"/>
    <mergeCell ref="D25:D26"/>
    <mergeCell ref="B7:B9"/>
    <mergeCell ref="E8:G8"/>
    <mergeCell ref="E7:F7"/>
    <mergeCell ref="C25:C26"/>
    <mergeCell ref="M15:N15"/>
    <mergeCell ref="I15:J15"/>
  </mergeCells>
  <conditionalFormatting sqref="F19:F20 H19:H20 J19:J20 L19:L20 F22 H22 J22 D33:D36 B54 C47:D48 A37 B35 H24:H26 C25:C26 L11 F24:F26 C29:C30 J24:J26 D38:D42 J13 L13 C7:D19 C21:D24 F10:F11 H10:H11 J10:J11 P13:P14 L25:L26 J41">
    <cfRule type="cellIs" priority="1" dxfId="0" operator="equal" stopIfTrue="1">
      <formula>"×"</formula>
    </cfRule>
  </conditionalFormatting>
  <conditionalFormatting sqref="L56:M56 I58:K58">
    <cfRule type="cellIs" priority="2" dxfId="0" operator="lessThan" stopIfTrue="1">
      <formula>0</formula>
    </cfRule>
  </conditionalFormatting>
  <printOptions/>
  <pageMargins left="0.4330708661417323" right="0.3937007874015748" top="0.5905511811023623" bottom="0.5511811023622047" header="0.31496062992125984"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K127"/>
  <sheetViews>
    <sheetView zoomScale="75" zoomScaleNormal="75" workbookViewId="0" topLeftCell="L1">
      <pane ySplit="3" topLeftCell="BM43" activePane="bottomLeft" state="frozen"/>
      <selection pane="topLeft" activeCell="A1" sqref="A1"/>
      <selection pane="bottomLeft" activeCell="Z20" sqref="Z20"/>
    </sheetView>
  </sheetViews>
  <sheetFormatPr defaultColWidth="9.00390625" defaultRowHeight="13.5"/>
  <cols>
    <col min="1" max="1" width="2.625" style="7" customWidth="1"/>
    <col min="2" max="2" width="17.50390625" style="7" bestFit="1" customWidth="1"/>
    <col min="3" max="3" width="6.375" style="7" bestFit="1" customWidth="1"/>
    <col min="4" max="5" width="9.00390625" style="7" customWidth="1"/>
    <col min="6" max="6" width="3.00390625" style="7" customWidth="1"/>
    <col min="7" max="7" width="16.50390625" style="7" customWidth="1"/>
    <col min="8" max="10" width="9.00390625" style="7" customWidth="1"/>
    <col min="11" max="11" width="3.00390625" style="7" customWidth="1"/>
    <col min="12" max="12" width="20.50390625" style="7" customWidth="1"/>
    <col min="13" max="15" width="9.00390625" style="7" customWidth="1"/>
    <col min="16" max="16" width="2.625" style="7" customWidth="1"/>
    <col min="17" max="17" width="16.00390625" style="7" bestFit="1" customWidth="1"/>
    <col min="18" max="18" width="6.375" style="7" bestFit="1" customWidth="1"/>
    <col min="19" max="20" width="9.00390625" style="7" customWidth="1"/>
    <col min="21" max="22" width="2.625" style="7" customWidth="1"/>
    <col min="23" max="23" width="20.75390625" style="7" bestFit="1" customWidth="1"/>
    <col min="24" max="24" width="6.375" style="7" bestFit="1" customWidth="1"/>
    <col min="25" max="26" width="9.00390625" style="7" customWidth="1"/>
    <col min="27" max="27" width="2.625" style="7" customWidth="1"/>
    <col min="28" max="28" width="20.75390625" style="7" bestFit="1" customWidth="1"/>
    <col min="29" max="29" width="6.375" style="7" bestFit="1" customWidth="1"/>
    <col min="30" max="32" width="9.00390625" style="7" customWidth="1"/>
    <col min="33" max="33" width="3.25390625" style="5" customWidth="1"/>
    <col min="34" max="34" width="19.125" style="7" bestFit="1" customWidth="1"/>
    <col min="35" max="35" width="6.375" style="7" bestFit="1" customWidth="1"/>
    <col min="36" max="16384" width="9.00390625" style="7" customWidth="1"/>
  </cols>
  <sheetData>
    <row r="1" spans="6:15" ht="13.5">
      <c r="F1" s="40"/>
      <c r="G1" s="40"/>
      <c r="H1" s="40"/>
      <c r="I1" s="40"/>
      <c r="J1" s="40"/>
      <c r="K1" s="40"/>
      <c r="L1" s="40"/>
      <c r="M1" s="40"/>
      <c r="N1" s="40"/>
      <c r="O1" s="40"/>
    </row>
    <row r="2" spans="1:33" s="5" customFormat="1" ht="13.5">
      <c r="A2" s="5" t="s">
        <v>403</v>
      </c>
      <c r="F2" s="5" t="s">
        <v>300</v>
      </c>
      <c r="K2" s="5" t="s">
        <v>402</v>
      </c>
      <c r="P2" s="5" t="s">
        <v>26</v>
      </c>
      <c r="U2" s="5" t="s">
        <v>67</v>
      </c>
      <c r="AA2" s="5" t="s">
        <v>201</v>
      </c>
      <c r="AG2" s="5" t="s">
        <v>162</v>
      </c>
    </row>
    <row r="3" spans="2:37" ht="13.5">
      <c r="B3" s="8" t="s">
        <v>35</v>
      </c>
      <c r="C3" s="8" t="s">
        <v>28</v>
      </c>
      <c r="D3" s="8" t="s">
        <v>36</v>
      </c>
      <c r="E3" s="8" t="s">
        <v>37</v>
      </c>
      <c r="F3" s="8"/>
      <c r="G3" s="8" t="s">
        <v>35</v>
      </c>
      <c r="H3" s="8" t="s">
        <v>28</v>
      </c>
      <c r="I3" s="8" t="s">
        <v>36</v>
      </c>
      <c r="J3" s="8" t="s">
        <v>37</v>
      </c>
      <c r="K3" s="8"/>
      <c r="L3" s="8" t="s">
        <v>35</v>
      </c>
      <c r="M3" s="8" t="s">
        <v>28</v>
      </c>
      <c r="N3" s="8" t="s">
        <v>36</v>
      </c>
      <c r="O3" s="8" t="s">
        <v>37</v>
      </c>
      <c r="Q3" s="8" t="s">
        <v>35</v>
      </c>
      <c r="R3" s="8" t="s">
        <v>28</v>
      </c>
      <c r="S3" s="8" t="s">
        <v>36</v>
      </c>
      <c r="T3" s="8" t="s">
        <v>37</v>
      </c>
      <c r="W3" s="8" t="s">
        <v>35</v>
      </c>
      <c r="X3" s="8" t="s">
        <v>28</v>
      </c>
      <c r="Y3" s="8" t="s">
        <v>36</v>
      </c>
      <c r="Z3" s="8" t="s">
        <v>37</v>
      </c>
      <c r="AB3" s="8" t="s">
        <v>35</v>
      </c>
      <c r="AC3" s="8" t="s">
        <v>28</v>
      </c>
      <c r="AD3" s="8" t="s">
        <v>36</v>
      </c>
      <c r="AE3" s="8" t="s">
        <v>37</v>
      </c>
      <c r="AH3" s="8" t="s">
        <v>35</v>
      </c>
      <c r="AI3" s="8" t="s">
        <v>28</v>
      </c>
      <c r="AJ3" s="8" t="s">
        <v>36</v>
      </c>
      <c r="AK3" s="8" t="s">
        <v>37</v>
      </c>
    </row>
    <row r="4" spans="2:37" ht="13.5">
      <c r="B4" s="11" t="str">
        <f>CONCATENATE('入力(文系・総合)'!B5)</f>
        <v>論語を読む</v>
      </c>
      <c r="C4" s="7">
        <v>2</v>
      </c>
      <c r="D4" s="7">
        <f>'入力(文系・総合)'!C5</f>
        <v>0</v>
      </c>
      <c r="E4" s="7">
        <f aca="true" t="shared" si="0" ref="E4:E48">IF(D4&gt;59,1*C4,0)</f>
        <v>0</v>
      </c>
      <c r="G4" s="11" t="str">
        <f>CONCATENATE('入力(文系・総合)'!F5)</f>
        <v>倫理学</v>
      </c>
      <c r="H4" s="7">
        <v>2</v>
      </c>
      <c r="I4" s="7">
        <f>'入力(文系・総合)'!G5</f>
        <v>0</v>
      </c>
      <c r="J4" s="7">
        <f>IF(I4&gt;59,1*H4,0)</f>
        <v>0</v>
      </c>
      <c r="K4" s="7" t="s">
        <v>401</v>
      </c>
      <c r="Q4" s="11" t="str">
        <f>CONCATENATE('入力(理工系，国際ほか)'!F3)</f>
        <v>微分積分第1</v>
      </c>
      <c r="R4" s="7">
        <v>2</v>
      </c>
      <c r="S4" s="7">
        <f>'入力(理工系，国際ほか)'!G3</f>
        <v>0</v>
      </c>
      <c r="T4" s="7">
        <f aca="true" t="shared" si="1" ref="T4:T28">IF(S4&gt;59,1*R4,0)</f>
        <v>0</v>
      </c>
      <c r="W4" s="7" t="str">
        <f>CONCATENATE('入力(専門科目)'!B3)</f>
        <v>6類特別講義第一</v>
      </c>
      <c r="X4" s="7">
        <v>2</v>
      </c>
      <c r="Y4" s="7">
        <f>'入力(専門科目)'!C3</f>
        <v>0</v>
      </c>
      <c r="Z4" s="7">
        <f>IF(Y4&gt;59,1*X4,0)</f>
        <v>0</v>
      </c>
      <c r="AA4" s="5" t="s">
        <v>108</v>
      </c>
      <c r="AB4" s="8"/>
      <c r="AC4" s="8"/>
      <c r="AD4" s="8"/>
      <c r="AE4" s="8"/>
      <c r="AH4" s="7" t="str">
        <f>'入力(理工系，国際ほか)'!J4</f>
        <v>健康科学</v>
      </c>
      <c r="AI4" s="7">
        <v>1</v>
      </c>
      <c r="AJ4" s="7">
        <f>'入力(理工系，国際ほか)'!K4</f>
        <v>0</v>
      </c>
      <c r="AK4" s="7">
        <f>IF(AJ4&gt;59,1*AI4,0)</f>
        <v>0</v>
      </c>
    </row>
    <row r="5" spans="2:37" ht="13.5">
      <c r="B5" s="11" t="str">
        <f>CONCATENATE('入力(文系・総合)'!B6)</f>
        <v>人間の知識表現と論理的言語</v>
      </c>
      <c r="C5" s="7">
        <v>2</v>
      </c>
      <c r="D5" s="7">
        <f>'入力(文系・総合)'!C6</f>
        <v>0</v>
      </c>
      <c r="E5" s="7">
        <f>IF(D5&gt;59,1*C5,0)</f>
        <v>0</v>
      </c>
      <c r="G5" s="11" t="str">
        <f>CONCATENATE('入力(文系・総合)'!F6)</f>
        <v>哲学</v>
      </c>
      <c r="H5" s="7">
        <v>2</v>
      </c>
      <c r="I5" s="7">
        <f>'入力(文系・総合)'!G6</f>
        <v>0</v>
      </c>
      <c r="J5" s="7">
        <f>IF(I5&gt;59,1*H5,0)</f>
        <v>0</v>
      </c>
      <c r="L5" s="11" t="str">
        <f>CONCATENATE('入力(文系・総合)'!J5)</f>
        <v>社会的合意形成の技法</v>
      </c>
      <c r="M5" s="7">
        <v>2</v>
      </c>
      <c r="N5" s="7">
        <f>'入力(文系・総合)'!K5</f>
        <v>0</v>
      </c>
      <c r="O5" s="7">
        <f>IF(N5&gt;59,1*M5,0)</f>
        <v>0</v>
      </c>
      <c r="Q5" s="11" t="str">
        <f>CONCATENATE('入力(理工系，国際ほか)'!F4)</f>
        <v>微分積分学第2A</v>
      </c>
      <c r="R5" s="7">
        <v>2</v>
      </c>
      <c r="S5" s="7">
        <f>'入力(理工系，国際ほか)'!G4</f>
        <v>0</v>
      </c>
      <c r="T5" s="7">
        <f t="shared" si="1"/>
        <v>0</v>
      </c>
      <c r="AB5" s="7" t="str">
        <f>CONCATENATE('入力(理工系，国際ほか)'!B4)</f>
        <v>英語1</v>
      </c>
      <c r="AC5" s="7">
        <v>2</v>
      </c>
      <c r="AD5" s="7">
        <f>'入力(理工系，国際ほか)'!C4</f>
        <v>0</v>
      </c>
      <c r="AE5" s="7">
        <f aca="true" t="shared" si="2" ref="AE5:AE11">IF(AD5&gt;59,1*AC5,0)</f>
        <v>0</v>
      </c>
      <c r="AH5" s="7" t="str">
        <f>'入力(理工系，国際ほか)'!J5</f>
        <v>スポーツ実習Ⅰ</v>
      </c>
      <c r="AI5" s="7">
        <v>1</v>
      </c>
      <c r="AJ5" s="7">
        <f>'入力(理工系，国際ほか)'!K5</f>
        <v>0</v>
      </c>
      <c r="AK5" s="7">
        <f>IF(AJ5&gt;59,1*AI5,0)</f>
        <v>0</v>
      </c>
    </row>
    <row r="6" spans="2:37" ht="13.5">
      <c r="B6" s="11" t="str">
        <f>CONCATENATE('入力(文系・総合)'!B7)</f>
        <v>意思決定の基本ロジック</v>
      </c>
      <c r="C6" s="7">
        <v>2</v>
      </c>
      <c r="D6" s="7">
        <f>'入力(文系・総合)'!C7</f>
        <v>0</v>
      </c>
      <c r="E6" s="7">
        <f t="shared" si="0"/>
        <v>0</v>
      </c>
      <c r="G6" s="11" t="str">
        <f>CONCATENATE('入力(文系・総合)'!F7)</f>
        <v>論理学第一</v>
      </c>
      <c r="H6" s="7">
        <v>2</v>
      </c>
      <c r="I6" s="7">
        <f>'入力(文系・総合)'!G7</f>
        <v>0</v>
      </c>
      <c r="J6" s="7">
        <f>IF(I6&gt;59,1*H6,0)</f>
        <v>0</v>
      </c>
      <c r="L6" s="11" t="str">
        <f>CONCATENATE('入力(文系・総合)'!J6)</f>
        <v>Topics on JapanⅡ（英語による日本事情Ⅱ）</v>
      </c>
      <c r="M6" s="7">
        <v>2</v>
      </c>
      <c r="N6" s="7">
        <f>'入力(文系・総合)'!K6</f>
        <v>0</v>
      </c>
      <c r="O6" s="7">
        <f>IF(N6&gt;59,1*M6,0)</f>
        <v>0</v>
      </c>
      <c r="Q6" s="11" t="str">
        <f>CONCATENATE('入力(理工系，国際ほか)'!F5)</f>
        <v>微分積分学第2B</v>
      </c>
      <c r="R6" s="7">
        <v>2</v>
      </c>
      <c r="S6" s="7">
        <f>'入力(理工系，国際ほか)'!G5</f>
        <v>0</v>
      </c>
      <c r="T6" s="7">
        <f t="shared" si="1"/>
        <v>0</v>
      </c>
      <c r="W6" s="7" t="str">
        <f>CONCATENATE('入力(専門科目)'!F3)</f>
        <v>6類特別講義第二</v>
      </c>
      <c r="X6" s="7">
        <v>2</v>
      </c>
      <c r="Y6" s="7">
        <f>'入力(専門科目)'!G3</f>
        <v>0</v>
      </c>
      <c r="Z6" s="7">
        <f>IF(Y6&gt;59,1*X6,0)</f>
        <v>0</v>
      </c>
      <c r="AB6" s="7" t="str">
        <f>CONCATENATE('入力(理工系，国際ほか)'!B5)</f>
        <v>英語2</v>
      </c>
      <c r="AC6" s="7">
        <v>2</v>
      </c>
      <c r="AD6" s="7">
        <f>'入力(理工系，国際ほか)'!C5</f>
        <v>0</v>
      </c>
      <c r="AE6" s="7">
        <f t="shared" si="2"/>
        <v>0</v>
      </c>
      <c r="AH6" s="7" t="str">
        <f>'入力(理工系，国際ほか)'!J6</f>
        <v>スポーツ実習Ⅱ</v>
      </c>
      <c r="AI6" s="12">
        <v>1</v>
      </c>
      <c r="AJ6" s="12">
        <f>'入力(理工系，国際ほか)'!K6</f>
        <v>0</v>
      </c>
      <c r="AK6" s="12">
        <f>IF(AJ6&gt;59,1*AI6,0)</f>
        <v>0</v>
      </c>
    </row>
    <row r="7" spans="2:37" ht="13.5">
      <c r="B7" s="11" t="str">
        <f>CONCATENATE('入力(文系・総合)'!B8)</f>
        <v>世界文学入門Ⅰ</v>
      </c>
      <c r="C7" s="7">
        <v>2</v>
      </c>
      <c r="D7" s="7">
        <f>'入力(文系・総合)'!C8</f>
        <v>0</v>
      </c>
      <c r="E7" s="7">
        <f t="shared" si="0"/>
        <v>0</v>
      </c>
      <c r="G7" s="11" t="str">
        <f>CONCATENATE('入力(文系・総合)'!F8)</f>
        <v>論理学第二</v>
      </c>
      <c r="H7" s="7">
        <v>2</v>
      </c>
      <c r="I7" s="7">
        <f>'入力(文系・総合)'!G8</f>
        <v>0</v>
      </c>
      <c r="J7" s="7">
        <f aca="true" t="shared" si="3" ref="J7:J36">IF(I7&gt;59,1*H7,0)</f>
        <v>0</v>
      </c>
      <c r="L7" s="11" t="str">
        <f>CONCATENATE('入力(文系・総合)'!J7)</f>
        <v>日本政治を読む</v>
      </c>
      <c r="M7" s="7">
        <v>2</v>
      </c>
      <c r="N7" s="7">
        <f>'入力(文系・総合)'!K7</f>
        <v>0</v>
      </c>
      <c r="O7" s="7">
        <f>IF(N7&gt;59,1*M7,0)</f>
        <v>0</v>
      </c>
      <c r="Q7" s="11" t="str">
        <f>CONCATENATE('入力(理工系，国際ほか)'!F6)</f>
        <v>線形代数学第1</v>
      </c>
      <c r="R7" s="7">
        <v>2</v>
      </c>
      <c r="S7" s="7">
        <f>'入力(理工系，国際ほか)'!G6</f>
        <v>0</v>
      </c>
      <c r="T7" s="7">
        <f t="shared" si="1"/>
        <v>0</v>
      </c>
      <c r="AB7" s="7" t="str">
        <f>CONCATENATE('入力(理工系，国際ほか)'!B6)</f>
        <v>英語3</v>
      </c>
      <c r="AC7" s="7">
        <v>2</v>
      </c>
      <c r="AD7" s="7">
        <f>'入力(理工系，国際ほか)'!C6</f>
        <v>0</v>
      </c>
      <c r="AE7" s="7">
        <f t="shared" si="2"/>
        <v>0</v>
      </c>
      <c r="AH7" s="7" t="s">
        <v>169</v>
      </c>
      <c r="AK7" s="7">
        <f>SUM(AK4:AK6)</f>
        <v>0</v>
      </c>
    </row>
    <row r="8" spans="2:31" ht="13.5">
      <c r="B8" s="11" t="str">
        <f>CONCATENATE('入力(文系・総合)'!B9)</f>
        <v>経済学入門</v>
      </c>
      <c r="C8" s="7">
        <v>2</v>
      </c>
      <c r="D8" s="7">
        <f>'入力(文系・総合)'!C9</f>
        <v>0</v>
      </c>
      <c r="E8" s="7">
        <f t="shared" si="0"/>
        <v>0</v>
      </c>
      <c r="G8" s="11" t="str">
        <f>CONCATENATE('入力(文系・総合)'!F9)</f>
        <v>西洋近現代思想史</v>
      </c>
      <c r="H8" s="7">
        <v>2</v>
      </c>
      <c r="I8" s="7">
        <f>'入力(文系・総合)'!G9</f>
        <v>0</v>
      </c>
      <c r="J8" s="7">
        <f t="shared" si="3"/>
        <v>0</v>
      </c>
      <c r="L8" s="11" t="str">
        <f>CONCATENATE('入力(文系・総合)'!J8)</f>
        <v>短編小説を読む</v>
      </c>
      <c r="M8" s="7">
        <v>2</v>
      </c>
      <c r="N8" s="7">
        <f>'入力(文系・総合)'!K8</f>
        <v>0</v>
      </c>
      <c r="O8" s="7">
        <f>IF(N8&gt;59,1*M8,0)</f>
        <v>0</v>
      </c>
      <c r="Q8" s="11" t="str">
        <f>CONCATENATE('入力(理工系，国際ほか)'!F7)</f>
        <v>線形代数学第2A</v>
      </c>
      <c r="R8" s="7">
        <v>2</v>
      </c>
      <c r="S8" s="7">
        <f>'入力(理工系，国際ほか)'!G7</f>
        <v>0</v>
      </c>
      <c r="T8" s="7">
        <f t="shared" si="1"/>
        <v>0</v>
      </c>
      <c r="V8" s="30" t="s">
        <v>100</v>
      </c>
      <c r="W8" s="10" t="str">
        <f>CONCATENATE('入力(専門科目)'!B5)</f>
        <v>材料と部材の力学</v>
      </c>
      <c r="X8" s="10">
        <v>2</v>
      </c>
      <c r="Y8" s="10">
        <f>'入力(専門科目)'!C5</f>
        <v>0</v>
      </c>
      <c r="Z8" s="236">
        <f aca="true" t="shared" si="4" ref="Z8:Z19">IF(Y8&gt;59,1*X8,0)</f>
        <v>0</v>
      </c>
      <c r="AB8" s="11" t="str">
        <f>CONCATENATE('入力(理工系，国際ほか)'!B7)</f>
        <v>英語4</v>
      </c>
      <c r="AC8" s="11">
        <v>2</v>
      </c>
      <c r="AD8" s="11">
        <f>'入力(理工系，国際ほか)'!C7</f>
        <v>0</v>
      </c>
      <c r="AE8" s="11">
        <f t="shared" si="2"/>
        <v>0</v>
      </c>
    </row>
    <row r="9" spans="2:37" ht="13.5">
      <c r="B9" s="11" t="str">
        <f>CONCATENATE('入力(文系・総合)'!B10)</f>
        <v>グループ・リサーチ社会学</v>
      </c>
      <c r="C9" s="7">
        <v>2</v>
      </c>
      <c r="D9" s="7">
        <f>'入力(文系・総合)'!C10</f>
        <v>0</v>
      </c>
      <c r="E9" s="7">
        <f t="shared" si="0"/>
        <v>0</v>
      </c>
      <c r="G9" s="11" t="str">
        <f>CONCATENATE('入力(文系・総合)'!F10)</f>
        <v>日本思想史</v>
      </c>
      <c r="H9" s="7">
        <v>2</v>
      </c>
      <c r="I9" s="7">
        <f>'入力(文系・総合)'!G10</f>
        <v>0</v>
      </c>
      <c r="J9" s="7">
        <f t="shared" si="3"/>
        <v>0</v>
      </c>
      <c r="L9" s="11" t="str">
        <f>CONCATENATE('入力(文系・総合)'!J9)</f>
        <v>Topics on JapanⅠ（英語による日本事情Ⅰ）</v>
      </c>
      <c r="M9" s="7">
        <v>2</v>
      </c>
      <c r="N9" s="7">
        <f>'入力(文系・総合)'!K9</f>
        <v>0</v>
      </c>
      <c r="O9" s="7">
        <f aca="true" t="shared" si="5" ref="O9:O26">IF(N9&gt;59,1*M9,0)</f>
        <v>0</v>
      </c>
      <c r="Q9" s="11" t="str">
        <f>CONCATENATE('入力(理工系，国際ほか)'!F8)</f>
        <v>線形代数学第2B</v>
      </c>
      <c r="R9" s="7">
        <v>2</v>
      </c>
      <c r="S9" s="7">
        <f>'入力(理工系，国際ほか)'!G8</f>
        <v>0</v>
      </c>
      <c r="T9" s="7">
        <f t="shared" si="1"/>
        <v>0</v>
      </c>
      <c r="V9" s="31" t="s">
        <v>100</v>
      </c>
      <c r="W9" s="11" t="str">
        <f>CONCATENATE('入力(専門科目)'!B6)</f>
        <v>水理学原理</v>
      </c>
      <c r="X9" s="11">
        <v>2</v>
      </c>
      <c r="Y9" s="11">
        <f>'入力(専門科目)'!C6</f>
        <v>0</v>
      </c>
      <c r="Z9" s="237">
        <f t="shared" si="4"/>
        <v>0</v>
      </c>
      <c r="AB9" s="11" t="str">
        <f>CONCATENATE('入力(理工系，国際ほか)'!B8)</f>
        <v>英語5</v>
      </c>
      <c r="AC9" s="11">
        <v>2</v>
      </c>
      <c r="AD9" s="11">
        <f>'入力(理工系，国際ほか)'!C8</f>
        <v>0</v>
      </c>
      <c r="AE9" s="11">
        <f t="shared" si="2"/>
        <v>0</v>
      </c>
      <c r="AH9" s="7" t="str">
        <f>'入力(理工系，国際ほか)'!J7</f>
        <v>健康・ｽﾎﾟｰﾂ科学</v>
      </c>
      <c r="AI9" s="7">
        <v>1</v>
      </c>
      <c r="AJ9" s="7">
        <f>'入力(理工系，国際ほか)'!K7</f>
        <v>0</v>
      </c>
      <c r="AK9" s="7">
        <f aca="true" t="shared" si="6" ref="AK9:AK14">IF(AJ9&gt;59,1*AI9,0)</f>
        <v>0</v>
      </c>
    </row>
    <row r="10" spans="2:37" ht="13.5">
      <c r="B10" s="11" t="str">
        <f>CONCATENATE('入力(文系・総合)'!B11)</f>
        <v>アートとミュージアム </v>
      </c>
      <c r="C10" s="7">
        <v>2</v>
      </c>
      <c r="D10" s="7">
        <f>'入力(文系・総合)'!C11</f>
        <v>0</v>
      </c>
      <c r="E10" s="7">
        <f t="shared" si="0"/>
        <v>0</v>
      </c>
      <c r="G10" s="11" t="str">
        <f>CONCATENATE('入力(文系・総合)'!F11)</f>
        <v>近代文学</v>
      </c>
      <c r="H10" s="7">
        <v>2</v>
      </c>
      <c r="I10" s="7">
        <f>'入力(文系・総合)'!G11</f>
        <v>0</v>
      </c>
      <c r="J10" s="7">
        <f t="shared" si="3"/>
        <v>0</v>
      </c>
      <c r="L10" s="11" t="str">
        <f>CONCATENATE('入力(文系・総合)'!J10)</f>
        <v>大江戸講</v>
      </c>
      <c r="M10" s="7">
        <v>2</v>
      </c>
      <c r="N10" s="7">
        <f>'入力(文系・総合)'!K10</f>
        <v>0</v>
      </c>
      <c r="O10" s="7">
        <f>IF(N10&gt;59,1*M10,0)</f>
        <v>0</v>
      </c>
      <c r="Q10" s="11" t="str">
        <f>CONCATENATE('入力(理工系，国際ほか)'!F9)</f>
        <v>微分積分学演習第1</v>
      </c>
      <c r="R10" s="7">
        <v>1</v>
      </c>
      <c r="S10" s="7">
        <f>'入力(理工系，国際ほか)'!G9</f>
        <v>0</v>
      </c>
      <c r="T10" s="7">
        <f t="shared" si="1"/>
        <v>0</v>
      </c>
      <c r="V10" s="31" t="s">
        <v>100</v>
      </c>
      <c r="W10" s="11" t="str">
        <f>CONCATENATE('入力(専門科目)'!B7)</f>
        <v>土質力学第1</v>
      </c>
      <c r="X10" s="11">
        <v>2</v>
      </c>
      <c r="Y10" s="11">
        <f>'入力(専門科目)'!C7</f>
        <v>0</v>
      </c>
      <c r="Z10" s="237">
        <f t="shared" si="4"/>
        <v>0</v>
      </c>
      <c r="AB10" s="11" t="str">
        <f>CONCATENATE('入力(理工系，国際ほか)'!B9)</f>
        <v>英語6</v>
      </c>
      <c r="AC10" s="11">
        <v>2</v>
      </c>
      <c r="AD10" s="11">
        <f>'入力(理工系，国際ほか)'!C9</f>
        <v>0</v>
      </c>
      <c r="AE10" s="11">
        <f t="shared" si="2"/>
        <v>0</v>
      </c>
      <c r="AH10" s="7" t="str">
        <f>'入力(理工系，国際ほか)'!J8</f>
        <v>生涯ｽﾎﾟｰﾂ実習I</v>
      </c>
      <c r="AI10" s="11">
        <v>1</v>
      </c>
      <c r="AJ10" s="11">
        <f>'入力(理工系，国際ほか)'!K8</f>
        <v>0</v>
      </c>
      <c r="AK10" s="11">
        <f t="shared" si="6"/>
        <v>0</v>
      </c>
    </row>
    <row r="11" spans="2:37" ht="13.5">
      <c r="B11" s="11" t="str">
        <f>CONCATENATE('入力(文系・総合)'!B12)</f>
        <v>コラムランド</v>
      </c>
      <c r="C11" s="7">
        <v>2</v>
      </c>
      <c r="D11" s="7">
        <f>'入力(文系・総合)'!C12</f>
        <v>0</v>
      </c>
      <c r="E11" s="7">
        <f t="shared" si="0"/>
        <v>0</v>
      </c>
      <c r="G11" s="11" t="str">
        <f>CONCATENATE('入力(文系・総合)'!F12)</f>
        <v>古典文学</v>
      </c>
      <c r="H11" s="7">
        <v>2</v>
      </c>
      <c r="I11" s="7">
        <f>'入力(文系・総合)'!G12</f>
        <v>0</v>
      </c>
      <c r="J11" s="7">
        <f t="shared" si="3"/>
        <v>0</v>
      </c>
      <c r="L11" s="11" t="str">
        <f>CONCATENATE('入力(文系・総合)'!J11)</f>
        <v>科学・技術・社会</v>
      </c>
      <c r="M11" s="7">
        <v>2</v>
      </c>
      <c r="N11" s="7">
        <f>'入力(文系・総合)'!K11</f>
        <v>0</v>
      </c>
      <c r="O11" s="7">
        <f t="shared" si="5"/>
        <v>0</v>
      </c>
      <c r="Q11" s="11" t="str">
        <f>CONCATENATE('入力(理工系，国際ほか)'!F10)</f>
        <v>微分積分学演習第2</v>
      </c>
      <c r="R11" s="7">
        <v>1</v>
      </c>
      <c r="S11" s="7">
        <f>'入力(理工系，国際ほか)'!G10</f>
        <v>0</v>
      </c>
      <c r="T11" s="7">
        <f t="shared" si="1"/>
        <v>0</v>
      </c>
      <c r="V11" s="31" t="s">
        <v>100</v>
      </c>
      <c r="W11" s="11" t="str">
        <f>CONCATENATE('入力(専門科目)'!B8)</f>
        <v>土木計画の理論と数理</v>
      </c>
      <c r="X11" s="11">
        <v>3</v>
      </c>
      <c r="Y11" s="11">
        <f>'入力(専門科目)'!C8</f>
        <v>0</v>
      </c>
      <c r="Z11" s="237">
        <f t="shared" si="4"/>
        <v>0</v>
      </c>
      <c r="AB11" s="12" t="str">
        <f>CONCATENATE('入力(理工系，国際ほか)'!B10)</f>
        <v>英語7</v>
      </c>
      <c r="AC11" s="12">
        <v>2</v>
      </c>
      <c r="AD11" s="12">
        <f>'入力(理工系，国際ほか)'!C10</f>
        <v>0</v>
      </c>
      <c r="AE11" s="12">
        <f t="shared" si="2"/>
        <v>0</v>
      </c>
      <c r="AH11" s="7" t="str">
        <f>'入力(理工系，国際ほか)'!J9</f>
        <v>生涯ｽﾎﾟｰﾂ実習II</v>
      </c>
      <c r="AI11" s="7">
        <v>1</v>
      </c>
      <c r="AJ11" s="7">
        <f>'入力(理工系，国際ほか)'!K9</f>
        <v>0</v>
      </c>
      <c r="AK11" s="11">
        <f t="shared" si="6"/>
        <v>0</v>
      </c>
    </row>
    <row r="12" spans="2:37" ht="13.5">
      <c r="B12" s="11" t="str">
        <f>CONCATENATE('入力(文系・総合)'!B13)</f>
        <v>社会における科学</v>
      </c>
      <c r="C12" s="7">
        <v>2</v>
      </c>
      <c r="D12" s="7">
        <f>'入力(文系・総合)'!C13</f>
        <v>0</v>
      </c>
      <c r="E12" s="7">
        <f t="shared" si="0"/>
        <v>0</v>
      </c>
      <c r="G12" s="11" t="str">
        <f>CONCATENATE('入力(文系・総合)'!F13)</f>
        <v>国語</v>
      </c>
      <c r="H12" s="7">
        <v>2</v>
      </c>
      <c r="I12" s="7">
        <f>'入力(文系・総合)'!G13</f>
        <v>0</v>
      </c>
      <c r="J12" s="7">
        <f t="shared" si="3"/>
        <v>0</v>
      </c>
      <c r="L12" s="11" t="str">
        <f>CONCATENATE('入力(文系・総合)'!J12)</f>
        <v>現代の音楽とテクノロジー</v>
      </c>
      <c r="M12" s="7">
        <v>2</v>
      </c>
      <c r="N12" s="7">
        <f>'入力(文系・総合)'!K12</f>
        <v>0</v>
      </c>
      <c r="O12" s="7">
        <f t="shared" si="5"/>
        <v>0</v>
      </c>
      <c r="Q12" s="11" t="str">
        <f>CONCATENATE('入力(理工系，国際ほか)'!F11)</f>
        <v>線形代数学演習第1</v>
      </c>
      <c r="R12" s="7">
        <v>1</v>
      </c>
      <c r="S12" s="7">
        <f>'入力(理工系，国際ほか)'!G11</f>
        <v>0</v>
      </c>
      <c r="T12" s="7">
        <f t="shared" si="1"/>
        <v>0</v>
      </c>
      <c r="V12" s="31" t="s">
        <v>100</v>
      </c>
      <c r="W12" s="11" t="str">
        <f>CONCATENATE('入力(専門科目)'!B9)</f>
        <v>工業数学第一・演習</v>
      </c>
      <c r="X12" s="11">
        <v>2</v>
      </c>
      <c r="Y12" s="11">
        <f>'入力(専門科目)'!C9</f>
        <v>0</v>
      </c>
      <c r="Z12" s="237">
        <f t="shared" si="4"/>
        <v>0</v>
      </c>
      <c r="AB12" s="7" t="s">
        <v>29</v>
      </c>
      <c r="AE12" s="7">
        <f>SUM(AE5:AE11)</f>
        <v>0</v>
      </c>
      <c r="AH12" s="7" t="str">
        <f>'入力(理工系，国際ほか)'!J10</f>
        <v>ﾃﾆｽﾒﾝﾀﾙﾏﾈｼﾞﾒﾝﾄ実習</v>
      </c>
      <c r="AI12" s="7">
        <v>2</v>
      </c>
      <c r="AJ12" s="7">
        <f>'入力(理工系，国際ほか)'!K10</f>
        <v>0</v>
      </c>
      <c r="AK12" s="7">
        <f t="shared" si="6"/>
        <v>0</v>
      </c>
    </row>
    <row r="13" spans="2:37" ht="13.5">
      <c r="B13" s="11" t="str">
        <f>CONCATENATE('入力(文系・総合)'!B14)</f>
        <v>意思決定理論の展開</v>
      </c>
      <c r="C13" s="7">
        <v>2</v>
      </c>
      <c r="D13" s="7">
        <f>'入力(文系・総合)'!C14</f>
        <v>0</v>
      </c>
      <c r="E13" s="7">
        <f t="shared" si="0"/>
        <v>0</v>
      </c>
      <c r="G13" s="11" t="str">
        <f>CONCATENATE('入力(文系・総合)'!F14)</f>
        <v>日本文学</v>
      </c>
      <c r="H13" s="7">
        <v>2</v>
      </c>
      <c r="I13" s="7">
        <f>'入力(文系・総合)'!G14</f>
        <v>0</v>
      </c>
      <c r="J13" s="7">
        <f t="shared" si="3"/>
        <v>0</v>
      </c>
      <c r="L13" s="11">
        <f>CONCATENATE('入力(文系・総合)'!J13)</f>
      </c>
      <c r="M13" s="7">
        <v>2</v>
      </c>
      <c r="N13" s="7">
        <f>'入力(文系・総合)'!K13</f>
        <v>0</v>
      </c>
      <c r="O13" s="7">
        <f t="shared" si="5"/>
        <v>0</v>
      </c>
      <c r="Q13" s="11" t="str">
        <f>CONCATENATE('入力(理工系，国際ほか)'!F12)</f>
        <v>線形代数学演習第2</v>
      </c>
      <c r="R13" s="7">
        <v>1</v>
      </c>
      <c r="S13" s="7">
        <f>'入力(理工系，国際ほか)'!G12</f>
        <v>0</v>
      </c>
      <c r="T13" s="7">
        <f t="shared" si="1"/>
        <v>0</v>
      </c>
      <c r="V13" s="31" t="s">
        <v>100</v>
      </c>
      <c r="W13" s="11" t="str">
        <f>CONCATENATE('入力(専門科目)'!B10)</f>
        <v>数値解析基礎・演習</v>
      </c>
      <c r="X13" s="11">
        <v>2</v>
      </c>
      <c r="Y13" s="11">
        <f>'入力(専門科目)'!C10</f>
        <v>0</v>
      </c>
      <c r="Z13" s="237">
        <f t="shared" si="4"/>
        <v>0</v>
      </c>
      <c r="AB13" s="7" t="s">
        <v>417</v>
      </c>
      <c r="AE13" s="7">
        <f>SUM(AE9:AE11)</f>
        <v>0</v>
      </c>
      <c r="AH13" s="7">
        <f>CONCATENATE('入力(理工系，国際ほか)'!J11)</f>
      </c>
      <c r="AI13" s="7">
        <v>2</v>
      </c>
      <c r="AJ13" s="7">
        <f>'入力(理工系，国際ほか)'!K11</f>
        <v>0</v>
      </c>
      <c r="AK13" s="7">
        <f t="shared" si="6"/>
        <v>0</v>
      </c>
    </row>
    <row r="14" spans="2:37" ht="13.5">
      <c r="B14" s="11" t="str">
        <f>CONCATENATE('入力(文系・総合)'!B15)</f>
        <v>日常生活と法</v>
      </c>
      <c r="C14" s="7">
        <v>2</v>
      </c>
      <c r="D14" s="7">
        <f>'入力(文系・総合)'!C15</f>
        <v>0</v>
      </c>
      <c r="E14" s="7">
        <f t="shared" si="0"/>
        <v>0</v>
      </c>
      <c r="G14" s="11" t="str">
        <f>CONCATENATE('入力(文系・総合)'!F15)</f>
        <v>コラムキングダム</v>
      </c>
      <c r="H14" s="7">
        <v>2</v>
      </c>
      <c r="I14" s="7">
        <f>'入力(文系・総合)'!G15</f>
        <v>0</v>
      </c>
      <c r="J14" s="7">
        <f t="shared" si="3"/>
        <v>0</v>
      </c>
      <c r="L14" s="11">
        <f>CONCATENATE('入力(文系・総合)'!J14)</f>
      </c>
      <c r="M14" s="7">
        <v>2</v>
      </c>
      <c r="N14" s="7">
        <f>'入力(文系・総合)'!K14</f>
        <v>0</v>
      </c>
      <c r="O14" s="7">
        <f t="shared" si="5"/>
        <v>0</v>
      </c>
      <c r="Q14" s="11" t="str">
        <f>CONCATENATE('入力(理工系，国際ほか)'!F13)</f>
        <v>物理学A</v>
      </c>
      <c r="R14" s="7">
        <v>2</v>
      </c>
      <c r="S14" s="7">
        <f>'入力(理工系，国際ほか)'!G13</f>
        <v>0</v>
      </c>
      <c r="T14" s="7">
        <f t="shared" si="1"/>
        <v>0</v>
      </c>
      <c r="V14" s="31" t="s">
        <v>101</v>
      </c>
      <c r="W14" s="11" t="str">
        <f>CONCATENATE('入力(専門科目)'!B11)</f>
        <v>環境計画演習</v>
      </c>
      <c r="X14" s="11">
        <v>1.5</v>
      </c>
      <c r="Y14" s="11">
        <f>'入力(専門科目)'!C11</f>
        <v>0</v>
      </c>
      <c r="Z14" s="237">
        <f t="shared" si="4"/>
        <v>0</v>
      </c>
      <c r="AA14" s="5" t="s">
        <v>109</v>
      </c>
      <c r="AH14" s="7" t="str">
        <f>'入力(理工系，国際ほか)'!J12</f>
        <v>ｱﾄﾞｳﾞｧﾝｽﾄ･ﾃﾆｽ</v>
      </c>
      <c r="AI14" s="12">
        <v>2</v>
      </c>
      <c r="AJ14" s="12">
        <f>'入力(理工系，国際ほか)'!K12</f>
        <v>0</v>
      </c>
      <c r="AK14" s="12">
        <f t="shared" si="6"/>
        <v>0</v>
      </c>
    </row>
    <row r="15" spans="2:37" ht="13.5">
      <c r="B15" s="11" t="str">
        <f>CONCATENATE('入力(文系・総合)'!B16)</f>
        <v>現代科学技術と社会</v>
      </c>
      <c r="C15" s="7">
        <v>2</v>
      </c>
      <c r="D15" s="7">
        <f>'入力(文系・総合)'!C16</f>
        <v>0</v>
      </c>
      <c r="E15" s="7">
        <f t="shared" si="0"/>
        <v>0</v>
      </c>
      <c r="G15" s="11" t="str">
        <f>CONCATENATE('入力(文系・総合)'!F16)</f>
        <v>社会言語学</v>
      </c>
      <c r="H15" s="7">
        <v>2</v>
      </c>
      <c r="I15" s="7">
        <f>'入力(文系・総合)'!G16</f>
        <v>0</v>
      </c>
      <c r="J15" s="7">
        <f t="shared" si="3"/>
        <v>0</v>
      </c>
      <c r="L15" s="11">
        <f>CONCATENATE('入力(文系・総合)'!J15)</f>
      </c>
      <c r="M15" s="7">
        <v>2</v>
      </c>
      <c r="N15" s="7">
        <f>'入力(文系・総合)'!K15</f>
        <v>0</v>
      </c>
      <c r="O15" s="7">
        <f t="shared" si="5"/>
        <v>0</v>
      </c>
      <c r="Q15" s="11" t="str">
        <f>CONCATENATE('入力(理工系，国際ほか)'!F14)</f>
        <v>物理学B</v>
      </c>
      <c r="R15" s="7">
        <v>2</v>
      </c>
      <c r="S15" s="7">
        <f>'入力(理工系，国際ほか)'!G14</f>
        <v>0</v>
      </c>
      <c r="T15" s="7">
        <f t="shared" si="1"/>
        <v>0</v>
      </c>
      <c r="V15" s="31" t="s">
        <v>100</v>
      </c>
      <c r="W15" s="11" t="str">
        <f>CONCATENATE('入力(専門科目)'!B12)</f>
        <v>工学と環境I</v>
      </c>
      <c r="X15" s="11">
        <v>2</v>
      </c>
      <c r="Y15" s="11">
        <f>'入力(専門科目)'!C12</f>
        <v>0</v>
      </c>
      <c r="Z15" s="237">
        <f t="shared" si="4"/>
        <v>0</v>
      </c>
      <c r="AB15" s="30" t="str">
        <f>CONCATENATE('入力(理工系，国際ほか)'!B13)</f>
        <v>ドイツ語初級1</v>
      </c>
      <c r="AC15" s="10">
        <v>2</v>
      </c>
      <c r="AD15" s="10">
        <f>'入力(理工系，国際ほか)'!C13</f>
        <v>0</v>
      </c>
      <c r="AE15" s="10">
        <f aca="true" t="shared" si="7" ref="AE15:AE26">IF(AD15&gt;59,1*AC15,0)</f>
        <v>0</v>
      </c>
      <c r="AF15" s="352">
        <f>SUM(AE15:AE17)</f>
        <v>0</v>
      </c>
      <c r="AH15" s="7" t="s">
        <v>170</v>
      </c>
      <c r="AK15" s="7">
        <f>MIN(2,SUM(AK9:AK14))</f>
        <v>0</v>
      </c>
    </row>
    <row r="16" spans="2:32" ht="13.5">
      <c r="B16" s="11" t="str">
        <f>CONCATENATE('入力(文系・総合)'!B17)</f>
        <v>都市のシステム</v>
      </c>
      <c r="C16" s="7">
        <v>2</v>
      </c>
      <c r="D16" s="7">
        <f>'入力(文系・総合)'!C17</f>
        <v>0</v>
      </c>
      <c r="E16" s="7">
        <f t="shared" si="0"/>
        <v>0</v>
      </c>
      <c r="G16" s="11" t="str">
        <f>CONCATENATE('入力(文系・総合)'!F17)</f>
        <v>情報社会とコミュニケーション</v>
      </c>
      <c r="H16" s="7">
        <v>2</v>
      </c>
      <c r="I16" s="7">
        <f>'入力(文系・総合)'!G17</f>
        <v>0</v>
      </c>
      <c r="J16" s="7">
        <f t="shared" si="3"/>
        <v>0</v>
      </c>
      <c r="L16" s="11">
        <f>CONCATENATE('入力(文系・総合)'!J16)</f>
      </c>
      <c r="M16" s="7">
        <v>2</v>
      </c>
      <c r="N16" s="7">
        <f>'入力(文系・総合)'!K16</f>
        <v>0</v>
      </c>
      <c r="O16" s="7">
        <f t="shared" si="5"/>
        <v>0</v>
      </c>
      <c r="Q16" s="11" t="str">
        <f>CONCATENATE('入力(理工系，国際ほか)'!F15)</f>
        <v>物理学C</v>
      </c>
      <c r="R16" s="7">
        <v>2</v>
      </c>
      <c r="S16" s="7">
        <f>'入力(理工系，国際ほか)'!G15</f>
        <v>0</v>
      </c>
      <c r="T16" s="7">
        <f t="shared" si="1"/>
        <v>0</v>
      </c>
      <c r="V16" s="31"/>
      <c r="W16" s="11">
        <f>CONCATENATE('入力(専門科目)'!B13)</f>
      </c>
      <c r="X16" s="11"/>
      <c r="Y16" s="11">
        <f>'入力(専門科目)'!C13</f>
        <v>0</v>
      </c>
      <c r="Z16" s="237">
        <f t="shared" si="4"/>
        <v>0</v>
      </c>
      <c r="AB16" s="31" t="str">
        <f>CONCATENATE('入力(理工系，国際ほか)'!B14)</f>
        <v>ドイツ語初級2</v>
      </c>
      <c r="AC16" s="11">
        <v>2</v>
      </c>
      <c r="AD16" s="11">
        <f>'入力(理工系，国際ほか)'!C14</f>
        <v>0</v>
      </c>
      <c r="AE16" s="11">
        <f t="shared" si="7"/>
        <v>0</v>
      </c>
      <c r="AF16" s="353"/>
    </row>
    <row r="17" spans="2:32" ht="13.5">
      <c r="B17" s="11" t="str">
        <f>CONCATENATE('入力(文系・総合)'!B18)</f>
        <v>科学者とは何か</v>
      </c>
      <c r="C17" s="7">
        <v>2</v>
      </c>
      <c r="D17" s="7">
        <f>'入力(文系・総合)'!C18</f>
        <v>0</v>
      </c>
      <c r="E17" s="7">
        <f t="shared" si="0"/>
        <v>0</v>
      </c>
      <c r="G17" s="11" t="str">
        <f>CONCATENATE('入力(文系・総合)'!F18)</f>
        <v>理論言語学</v>
      </c>
      <c r="H17" s="7">
        <v>2</v>
      </c>
      <c r="I17" s="7">
        <f>'入力(文系・総合)'!G18</f>
        <v>0</v>
      </c>
      <c r="J17" s="7">
        <f t="shared" si="3"/>
        <v>0</v>
      </c>
      <c r="L17" s="11">
        <f>CONCATENATE('入力(文系・総合)'!J18)</f>
      </c>
      <c r="M17" s="7">
        <v>2</v>
      </c>
      <c r="N17" s="7">
        <f>'入力(文系・総合)'!K18</f>
        <v>0</v>
      </c>
      <c r="O17" s="7">
        <f t="shared" si="5"/>
        <v>0</v>
      </c>
      <c r="Q17" s="11" t="str">
        <f>CONCATENATE('入力(理工系，国際ほか)'!F16)</f>
        <v>基礎物理学演習</v>
      </c>
      <c r="R17" s="7">
        <v>2</v>
      </c>
      <c r="S17" s="7">
        <f>'入力(理工系，国際ほか)'!G16</f>
        <v>0</v>
      </c>
      <c r="T17" s="7">
        <f t="shared" si="1"/>
        <v>0</v>
      </c>
      <c r="V17" s="31"/>
      <c r="W17" s="11">
        <f>CONCATENATE('入力(専門科目)'!B14)</f>
      </c>
      <c r="X17" s="11"/>
      <c r="Y17" s="11">
        <f>'入力(専門科目)'!C14</f>
        <v>0</v>
      </c>
      <c r="Z17" s="237">
        <f t="shared" si="4"/>
        <v>0</v>
      </c>
      <c r="AB17" s="32" t="str">
        <f>CONCATENATE('入力(理工系，国際ほか)'!B15)</f>
        <v>ドイツ語中級</v>
      </c>
      <c r="AC17" s="12">
        <v>2</v>
      </c>
      <c r="AD17" s="12">
        <f>'入力(理工系，国際ほか)'!C15</f>
        <v>0</v>
      </c>
      <c r="AE17" s="12">
        <f t="shared" si="7"/>
        <v>0</v>
      </c>
      <c r="AF17" s="354"/>
    </row>
    <row r="18" spans="2:32" ht="13.5">
      <c r="B18" s="11" t="str">
        <f>CONCATENATE('入力(文系・総合)'!B19)</f>
        <v>現代社会への視点</v>
      </c>
      <c r="C18" s="7">
        <v>2</v>
      </c>
      <c r="D18" s="7">
        <f>'入力(文系・総合)'!C19</f>
        <v>0</v>
      </c>
      <c r="E18" s="7">
        <f t="shared" si="0"/>
        <v>0</v>
      </c>
      <c r="G18" s="11" t="str">
        <f>CONCATENATE('入力(文系・総合)'!F19)</f>
        <v>音楽文化論 第一</v>
      </c>
      <c r="H18" s="7">
        <v>2</v>
      </c>
      <c r="I18" s="7">
        <f>'入力(文系・総合)'!G19</f>
        <v>0</v>
      </c>
      <c r="J18" s="7">
        <f t="shared" si="3"/>
        <v>0</v>
      </c>
      <c r="L18" s="11">
        <f>CONCATENATE('入力(文系・総合)'!J19)</f>
      </c>
      <c r="M18" s="7">
        <v>2</v>
      </c>
      <c r="N18" s="7">
        <f>'入力(文系・総合)'!K19</f>
        <v>0</v>
      </c>
      <c r="O18" s="7">
        <f t="shared" si="5"/>
        <v>0</v>
      </c>
      <c r="Q18" s="11" t="str">
        <f>CONCATENATE('入力(理工系，国際ほか)'!F17)</f>
        <v>基礎物理学実験</v>
      </c>
      <c r="R18" s="7">
        <v>1.5</v>
      </c>
      <c r="S18" s="7">
        <f>'入力(理工系，国際ほか)'!G17</f>
        <v>0</v>
      </c>
      <c r="T18" s="7">
        <f t="shared" si="1"/>
        <v>0</v>
      </c>
      <c r="V18" s="31"/>
      <c r="W18" s="11">
        <f>CONCATENATE('入力(専門科目)'!B15)</f>
      </c>
      <c r="X18" s="11"/>
      <c r="Y18" s="11">
        <f>'入力(専門科目)'!C15</f>
        <v>0</v>
      </c>
      <c r="Z18" s="237">
        <f t="shared" si="4"/>
        <v>0</v>
      </c>
      <c r="AB18" s="30" t="str">
        <f>CONCATENATE('入力(理工系，国際ほか)'!B16)</f>
        <v>フランス語初級1</v>
      </c>
      <c r="AC18" s="10">
        <v>2</v>
      </c>
      <c r="AD18" s="10">
        <f>'入力(理工系，国際ほか)'!C16</f>
        <v>0</v>
      </c>
      <c r="AE18" s="10">
        <f t="shared" si="7"/>
        <v>0</v>
      </c>
      <c r="AF18" s="352">
        <f>SUM(AE18:AE20)</f>
        <v>0</v>
      </c>
    </row>
    <row r="19" spans="2:33" ht="13.5">
      <c r="B19" s="11" t="str">
        <f>CONCATENATE('入力(文系・総合)'!B20)</f>
        <v>文学への招待</v>
      </c>
      <c r="C19" s="7">
        <v>2</v>
      </c>
      <c r="D19" s="7">
        <f>'入力(文系・総合)'!C20</f>
        <v>0</v>
      </c>
      <c r="E19" s="7">
        <f t="shared" si="0"/>
        <v>0</v>
      </c>
      <c r="G19" s="11" t="str">
        <f>CONCATENATE('入力(文系・総合)'!F20)</f>
        <v>音楽文化論 第二</v>
      </c>
      <c r="H19" s="7">
        <v>2</v>
      </c>
      <c r="I19" s="7">
        <f>'入力(文系・総合)'!G20</f>
        <v>0</v>
      </c>
      <c r="J19" s="7">
        <f t="shared" si="3"/>
        <v>0</v>
      </c>
      <c r="L19" s="11">
        <f>CONCATENATE('入力(文系・総合)'!J20)</f>
      </c>
      <c r="M19" s="7">
        <v>2</v>
      </c>
      <c r="N19" s="7">
        <f>'入力(文系・総合)'!K20</f>
        <v>0</v>
      </c>
      <c r="O19" s="7">
        <f t="shared" si="5"/>
        <v>0</v>
      </c>
      <c r="Q19" s="11" t="str">
        <f>CONCATENATE('入力(理工系，国際ほか)'!F18)</f>
        <v>化学第1</v>
      </c>
      <c r="R19" s="7">
        <v>2</v>
      </c>
      <c r="S19" s="7">
        <f>'入力(理工系，国際ほか)'!G18</f>
        <v>0</v>
      </c>
      <c r="T19" s="7">
        <f t="shared" si="1"/>
        <v>0</v>
      </c>
      <c r="V19" s="32"/>
      <c r="W19" s="12">
        <f>CONCATENATE('入力(専門科目)'!B16)</f>
      </c>
      <c r="X19" s="12"/>
      <c r="Y19" s="12">
        <f>'入力(専門科目)'!C16</f>
        <v>0</v>
      </c>
      <c r="Z19" s="238">
        <f t="shared" si="4"/>
        <v>0</v>
      </c>
      <c r="AB19" s="31" t="str">
        <f>CONCATENATE('入力(理工系，国際ほか)'!B17)</f>
        <v>フランス語初級2</v>
      </c>
      <c r="AC19" s="11">
        <v>2</v>
      </c>
      <c r="AD19" s="11">
        <f>'入力(理工系，国際ほか)'!C17</f>
        <v>0</v>
      </c>
      <c r="AE19" s="11">
        <f t="shared" si="7"/>
        <v>0</v>
      </c>
      <c r="AF19" s="353"/>
      <c r="AG19" s="5" t="s">
        <v>158</v>
      </c>
    </row>
    <row r="20" spans="2:37" ht="13.5">
      <c r="B20" s="11" t="str">
        <f>CONCATENATE('入力(文系・総合)'!B21)</f>
        <v>世界文学入門Ⅱ</v>
      </c>
      <c r="C20" s="7">
        <v>2</v>
      </c>
      <c r="D20" s="7">
        <f>'入力(文系・総合)'!C21</f>
        <v>0</v>
      </c>
      <c r="E20" s="7">
        <f t="shared" si="0"/>
        <v>0</v>
      </c>
      <c r="G20" s="11" t="str">
        <f>CONCATENATE('入力(文系・総合)'!F21)</f>
        <v>日本文化論</v>
      </c>
      <c r="H20" s="7">
        <v>2</v>
      </c>
      <c r="I20" s="7">
        <f>'入力(文系・総合)'!G21</f>
        <v>0</v>
      </c>
      <c r="J20" s="7">
        <f t="shared" si="3"/>
        <v>0</v>
      </c>
      <c r="L20" s="11">
        <f>CONCATENATE('入力(文系・総合)'!J21)</f>
      </c>
      <c r="M20" s="7">
        <v>2</v>
      </c>
      <c r="N20" s="7">
        <f>'入力(文系・総合)'!K21</f>
        <v>0</v>
      </c>
      <c r="O20" s="7">
        <f t="shared" si="5"/>
        <v>0</v>
      </c>
      <c r="Q20" s="11" t="str">
        <f>CONCATENATE('入力(理工系，国際ほか)'!F19)</f>
        <v>化学第2</v>
      </c>
      <c r="R20" s="7">
        <v>2</v>
      </c>
      <c r="S20" s="7">
        <f>'入力(理工系，国際ほか)'!G19</f>
        <v>0</v>
      </c>
      <c r="T20" s="7">
        <f t="shared" si="1"/>
        <v>0</v>
      </c>
      <c r="Y20" s="11"/>
      <c r="AB20" s="32" t="str">
        <f>CONCATENATE('入力(理工系，国際ほか)'!B18)</f>
        <v>フランス語中級</v>
      </c>
      <c r="AC20" s="12">
        <v>2</v>
      </c>
      <c r="AD20" s="12">
        <f>'入力(理工系，国際ほか)'!C18</f>
        <v>0</v>
      </c>
      <c r="AE20" s="12">
        <f t="shared" si="7"/>
        <v>0</v>
      </c>
      <c r="AF20" s="354"/>
      <c r="AH20" s="7" t="s">
        <v>163</v>
      </c>
      <c r="AI20" s="7">
        <v>2</v>
      </c>
      <c r="AJ20" s="7">
        <f>'入力(理工系，国際ほか)'!K15</f>
        <v>0</v>
      </c>
      <c r="AK20" s="7">
        <f>IF(AJ20&gt;59,1*AI20,0)</f>
        <v>0</v>
      </c>
    </row>
    <row r="21" spans="2:32" ht="13.5">
      <c r="B21" s="11" t="str">
        <f>CONCATENATE('入力(文系・総合)'!B22)</f>
        <v>交渉で学ぶ政治学入門</v>
      </c>
      <c r="C21" s="7">
        <v>2</v>
      </c>
      <c r="D21" s="7">
        <f>'入力(文系・総合)'!C22</f>
        <v>0</v>
      </c>
      <c r="E21" s="7">
        <f t="shared" si="0"/>
        <v>0</v>
      </c>
      <c r="G21" s="11" t="str">
        <f>CONCATENATE('入力(文系・総合)'!F22)</f>
        <v>オペラへの招待</v>
      </c>
      <c r="H21" s="7">
        <v>2</v>
      </c>
      <c r="I21" s="7">
        <f>'入力(文系・総合)'!G22</f>
        <v>0</v>
      </c>
      <c r="J21" s="7">
        <f t="shared" si="3"/>
        <v>0</v>
      </c>
      <c r="L21" s="11">
        <f>CONCATENATE('入力(文系・総合)'!J22)</f>
      </c>
      <c r="M21" s="7">
        <v>2</v>
      </c>
      <c r="N21" s="7">
        <f>'入力(文系・総合)'!K22</f>
        <v>0</v>
      </c>
      <c r="O21" s="7">
        <f t="shared" si="5"/>
        <v>0</v>
      </c>
      <c r="Q21" s="11" t="str">
        <f>CONCATENATE('入力(理工系，国際ほか)'!F20)</f>
        <v>化学実験第1</v>
      </c>
      <c r="R21" s="7">
        <v>1.5</v>
      </c>
      <c r="S21" s="7">
        <f>'入力(理工系，国際ほか)'!G20</f>
        <v>0</v>
      </c>
      <c r="T21" s="7">
        <f t="shared" si="1"/>
        <v>0</v>
      </c>
      <c r="V21" s="30" t="s">
        <v>100</v>
      </c>
      <c r="W21" s="10" t="str">
        <f>CONCATENATE('入力(専門科目)'!F5)</f>
        <v>構造力学第1</v>
      </c>
      <c r="X21" s="10">
        <v>2</v>
      </c>
      <c r="Y21" s="10">
        <f>'入力(専門科目)'!G5</f>
        <v>0</v>
      </c>
      <c r="Z21" s="236">
        <f aca="true" t="shared" si="8" ref="Z21:Z32">IF(Y21&gt;59,1*X21,0)</f>
        <v>0</v>
      </c>
      <c r="AB21" s="30" t="str">
        <f>CONCATENATE('入力(理工系，国際ほか)'!B19)</f>
        <v>ロシア語初級1</v>
      </c>
      <c r="AC21" s="10">
        <v>2</v>
      </c>
      <c r="AD21" s="10">
        <f>'入力(理工系，国際ほか)'!C19</f>
        <v>0</v>
      </c>
      <c r="AE21" s="10">
        <f t="shared" si="7"/>
        <v>0</v>
      </c>
      <c r="AF21" s="352">
        <f>SUM(AE21:AE23)</f>
        <v>0</v>
      </c>
    </row>
    <row r="22" spans="2:33" ht="13.5">
      <c r="B22" s="11" t="str">
        <f>CONCATENATE('入力(文系・総合)'!B23)</f>
        <v>風景学入門</v>
      </c>
      <c r="C22" s="7">
        <v>2</v>
      </c>
      <c r="D22" s="7">
        <f>'入力(文系・総合)'!C23</f>
        <v>0</v>
      </c>
      <c r="E22" s="7">
        <f t="shared" si="0"/>
        <v>0</v>
      </c>
      <c r="G22" s="11" t="str">
        <f>CONCATENATE('入力(文系・総合)'!F23)</f>
        <v>デザイン論</v>
      </c>
      <c r="H22" s="7">
        <v>2</v>
      </c>
      <c r="I22" s="7">
        <f>'入力(文系・総合)'!G23</f>
        <v>0</v>
      </c>
      <c r="J22" s="7">
        <f t="shared" si="3"/>
        <v>0</v>
      </c>
      <c r="L22" s="11">
        <f>CONCATENATE('入力(文系・総合)'!J23)</f>
      </c>
      <c r="M22" s="7">
        <v>2</v>
      </c>
      <c r="N22" s="7">
        <f>'入力(文系・総合)'!K23</f>
        <v>0</v>
      </c>
      <c r="O22" s="7">
        <f t="shared" si="5"/>
        <v>0</v>
      </c>
      <c r="Q22" s="11" t="str">
        <f>CONCATENATE('入力(理工系，国際ほか)'!F21)</f>
        <v>化学実験第2</v>
      </c>
      <c r="R22" s="7">
        <v>1.5</v>
      </c>
      <c r="S22" s="7">
        <f>'入力(理工系，国際ほか)'!G21</f>
        <v>0</v>
      </c>
      <c r="T22" s="7">
        <f t="shared" si="1"/>
        <v>0</v>
      </c>
      <c r="V22" s="31" t="s">
        <v>100</v>
      </c>
      <c r="W22" s="11" t="str">
        <f>CONCATENATE('入力(専門科目)'!F6)</f>
        <v>水理学第1</v>
      </c>
      <c r="X22" s="11">
        <v>2</v>
      </c>
      <c r="Y22" s="11">
        <f>'入力(専門科目)'!G6</f>
        <v>0</v>
      </c>
      <c r="Z22" s="237">
        <f t="shared" si="8"/>
        <v>0</v>
      </c>
      <c r="AB22" s="31" t="str">
        <f>CONCATENATE('入力(理工系，国際ほか)'!B20)</f>
        <v>ロシア語初級2</v>
      </c>
      <c r="AC22" s="11">
        <v>2</v>
      </c>
      <c r="AD22" s="11">
        <f>'入力(理工系，国際ほか)'!C20</f>
        <v>0</v>
      </c>
      <c r="AE22" s="11">
        <f t="shared" si="7"/>
        <v>0</v>
      </c>
      <c r="AF22" s="353"/>
      <c r="AG22" s="5" t="s">
        <v>160</v>
      </c>
    </row>
    <row r="23" spans="2:37" ht="13.5">
      <c r="B23" s="11" t="str">
        <f>CONCATENATE('入力(文系・総合)'!B24)</f>
        <v>技術発展と環境問題</v>
      </c>
      <c r="C23" s="7">
        <v>2</v>
      </c>
      <c r="D23" s="7">
        <f>'入力(文系・総合)'!C24</f>
        <v>0</v>
      </c>
      <c r="E23" s="7">
        <f t="shared" si="0"/>
        <v>0</v>
      </c>
      <c r="G23" s="11" t="str">
        <f>CONCATENATE('入力(文系・総合)'!F24)</f>
        <v>美術史・美術理論</v>
      </c>
      <c r="H23" s="7">
        <v>2</v>
      </c>
      <c r="I23" s="7">
        <f>'入力(文系・総合)'!G24</f>
        <v>0</v>
      </c>
      <c r="J23" s="7">
        <f t="shared" si="3"/>
        <v>0</v>
      </c>
      <c r="L23" s="11">
        <f>CONCATENATE('入力(文系・総合)'!J24)</f>
      </c>
      <c r="M23" s="7">
        <v>2</v>
      </c>
      <c r="N23" s="7">
        <f>'入力(文系・総合)'!K24</f>
        <v>0</v>
      </c>
      <c r="O23" s="7">
        <f t="shared" si="5"/>
        <v>0</v>
      </c>
      <c r="Q23" s="11" t="str">
        <f>CONCATENATE('入力(理工系，国際ほか)'!F22)</f>
        <v>基礎生物学A</v>
      </c>
      <c r="R23" s="7">
        <v>2</v>
      </c>
      <c r="S23" s="7">
        <f>'入力(理工系，国際ほか)'!G22</f>
        <v>0</v>
      </c>
      <c r="T23" s="7">
        <f t="shared" si="1"/>
        <v>0</v>
      </c>
      <c r="V23" s="31" t="s">
        <v>100</v>
      </c>
      <c r="W23" s="11" t="str">
        <f>CONCATENATE('入力(専門科目)'!F7)</f>
        <v>土質力学第2</v>
      </c>
      <c r="X23" s="11">
        <v>2</v>
      </c>
      <c r="Y23" s="11">
        <f>'入力(専門科目)'!G7</f>
        <v>0</v>
      </c>
      <c r="Z23" s="237">
        <f t="shared" si="8"/>
        <v>0</v>
      </c>
      <c r="AB23" s="32" t="str">
        <f>CONCATENATE('入力(理工系，国際ほか)'!B21)</f>
        <v>ロシア語中級</v>
      </c>
      <c r="AC23" s="12">
        <v>2</v>
      </c>
      <c r="AD23" s="12">
        <f>'入力(理工系，国際ほか)'!C21</f>
        <v>0</v>
      </c>
      <c r="AE23" s="12">
        <f t="shared" si="7"/>
        <v>0</v>
      </c>
      <c r="AF23" s="354"/>
      <c r="AH23" s="7" t="s">
        <v>161</v>
      </c>
      <c r="AI23" s="7">
        <v>2</v>
      </c>
      <c r="AJ23" s="7">
        <f>'入力(理工系，国際ほか)'!K18</f>
        <v>0</v>
      </c>
      <c r="AK23" s="7">
        <f>IF(AJ23&gt;59,1*AI23,0)</f>
        <v>0</v>
      </c>
    </row>
    <row r="24" spans="2:32" ht="13.5">
      <c r="B24" s="11" t="str">
        <f>CONCATENATE('入力(文系・総合)'!B25)</f>
        <v>心の科学の思考法</v>
      </c>
      <c r="C24" s="7">
        <v>2</v>
      </c>
      <c r="D24" s="7">
        <f>'入力(文系・総合)'!C25</f>
        <v>0</v>
      </c>
      <c r="E24" s="7">
        <f t="shared" si="0"/>
        <v>0</v>
      </c>
      <c r="G24" s="11" t="str">
        <f>CONCATENATE('入力(文系・総合)'!F25)</f>
        <v>歴史学</v>
      </c>
      <c r="H24" s="7">
        <v>2</v>
      </c>
      <c r="I24" s="7">
        <f>'入力(文系・総合)'!G25</f>
        <v>0</v>
      </c>
      <c r="J24" s="7">
        <f t="shared" si="3"/>
        <v>0</v>
      </c>
      <c r="L24" s="11">
        <f>CONCATENATE('入力(文系・総合)'!J25)</f>
      </c>
      <c r="M24" s="7">
        <v>2</v>
      </c>
      <c r="N24" s="7">
        <f>'入力(文系・総合)'!K25</f>
        <v>0</v>
      </c>
      <c r="O24" s="7">
        <f t="shared" si="5"/>
        <v>0</v>
      </c>
      <c r="Q24" s="11" t="str">
        <f>CONCATENATE('入力(理工系，国際ほか)'!F23)</f>
        <v>基礎生物学B</v>
      </c>
      <c r="R24" s="7">
        <v>2</v>
      </c>
      <c r="S24" s="7">
        <f>'入力(理工系，国際ほか)'!G23</f>
        <v>0</v>
      </c>
      <c r="T24" s="7">
        <f t="shared" si="1"/>
        <v>0</v>
      </c>
      <c r="V24" s="31" t="s">
        <v>100</v>
      </c>
      <c r="W24" s="11" t="str">
        <f>CONCATENATE('入力(専門科目)'!F8)</f>
        <v>ｺﾝｸﾘｰﾄ工学</v>
      </c>
      <c r="X24" s="11">
        <v>2</v>
      </c>
      <c r="Y24" s="11">
        <f>'入力(専門科目)'!G8</f>
        <v>0</v>
      </c>
      <c r="Z24" s="237">
        <f t="shared" si="8"/>
        <v>0</v>
      </c>
      <c r="AB24" s="30" t="str">
        <f>CONCATENATE('入力(理工系，国際ほか)'!B22)</f>
        <v>中国語初級1</v>
      </c>
      <c r="AC24" s="10">
        <v>2</v>
      </c>
      <c r="AD24" s="10">
        <f>'入力(理工系，国際ほか)'!C22</f>
        <v>0</v>
      </c>
      <c r="AE24" s="10">
        <f t="shared" si="7"/>
        <v>0</v>
      </c>
      <c r="AF24" s="352">
        <f>SUM(AE24:AE26)</f>
        <v>0</v>
      </c>
    </row>
    <row r="25" spans="2:32" ht="13.5">
      <c r="B25" s="11" t="str">
        <f>CONCATENATE('入力(文系・総合)'!B26)</f>
        <v>パフォーマンス論</v>
      </c>
      <c r="C25" s="7">
        <v>2</v>
      </c>
      <c r="D25" s="7">
        <f>'入力(文系・総合)'!C26</f>
        <v>0</v>
      </c>
      <c r="E25" s="7">
        <f t="shared" si="0"/>
        <v>0</v>
      </c>
      <c r="G25" s="11" t="str">
        <f>CONCATENATE('入力(文系・総合)'!F26)</f>
        <v>歴史表現論</v>
      </c>
      <c r="H25" s="7">
        <v>2</v>
      </c>
      <c r="I25" s="7">
        <f>'入力(文系・総合)'!G26</f>
        <v>0</v>
      </c>
      <c r="J25" s="7">
        <f t="shared" si="3"/>
        <v>0</v>
      </c>
      <c r="L25" s="11">
        <f>CONCATENATE('入力(文系・総合)'!J26)</f>
      </c>
      <c r="M25" s="7">
        <v>2</v>
      </c>
      <c r="N25" s="7">
        <f>'入力(文系・総合)'!K26</f>
        <v>0</v>
      </c>
      <c r="O25" s="7">
        <f t="shared" si="5"/>
        <v>0</v>
      </c>
      <c r="Q25" s="11" t="str">
        <f>CONCATENATE('入力(理工系，国際ほか)'!F24)</f>
        <v>基礎生物学実験</v>
      </c>
      <c r="R25" s="7">
        <v>1.5</v>
      </c>
      <c r="S25" s="7">
        <f>'入力(理工系，国際ほか)'!G24</f>
        <v>0</v>
      </c>
      <c r="T25" s="7">
        <f t="shared" si="1"/>
        <v>0</v>
      </c>
      <c r="V25" s="31" t="s">
        <v>100</v>
      </c>
      <c r="W25" s="11" t="str">
        <f>CONCATENATE('入力(専門科目)'!F9)</f>
        <v>工学と環境II</v>
      </c>
      <c r="X25" s="11">
        <v>2</v>
      </c>
      <c r="Y25" s="11">
        <f>'入力(専門科目)'!G9</f>
        <v>0</v>
      </c>
      <c r="Z25" s="237">
        <f t="shared" si="8"/>
        <v>0</v>
      </c>
      <c r="AB25" s="31" t="str">
        <f>CONCATENATE('入力(理工系，国際ほか)'!B23)</f>
        <v>中国語初級2</v>
      </c>
      <c r="AC25" s="11">
        <v>2</v>
      </c>
      <c r="AD25" s="11">
        <f>'入力(理工系，国際ほか)'!C23</f>
        <v>0</v>
      </c>
      <c r="AE25" s="11">
        <f t="shared" si="7"/>
        <v>0</v>
      </c>
      <c r="AF25" s="353"/>
    </row>
    <row r="26" spans="2:32" ht="13.5">
      <c r="B26" s="11" t="str">
        <f>CONCATENATE('入力(文系・総合)'!B27)</f>
        <v>社会のモデル解析入門</v>
      </c>
      <c r="C26" s="7">
        <v>2</v>
      </c>
      <c r="D26" s="7">
        <f>'入力(文系・総合)'!C27</f>
        <v>0</v>
      </c>
      <c r="E26" s="7">
        <f t="shared" si="0"/>
        <v>0</v>
      </c>
      <c r="G26" s="11" t="str">
        <f>CONCATENATE('入力(文系・総合)'!F27)</f>
        <v>現代史</v>
      </c>
      <c r="H26" s="7">
        <v>2</v>
      </c>
      <c r="I26" s="7">
        <f>'入力(文系・総合)'!G27</f>
        <v>0</v>
      </c>
      <c r="J26" s="7">
        <f t="shared" si="3"/>
        <v>0</v>
      </c>
      <c r="L26" s="11">
        <f>CONCATENATE('入力(文系・総合)'!J27)</f>
      </c>
      <c r="M26" s="7">
        <v>2</v>
      </c>
      <c r="N26" s="7">
        <f>'入力(文系・総合)'!K27</f>
        <v>0</v>
      </c>
      <c r="O26" s="7">
        <f t="shared" si="5"/>
        <v>0</v>
      </c>
      <c r="Q26" s="11" t="str">
        <f>CONCATENATE('入力(理工系，国際ほか)'!F25)</f>
        <v>宇宙地球科学A</v>
      </c>
      <c r="R26" s="7">
        <v>2</v>
      </c>
      <c r="S26" s="7">
        <f>'入力(理工系，国際ほか)'!G25</f>
        <v>0</v>
      </c>
      <c r="T26" s="7">
        <f t="shared" si="1"/>
        <v>0</v>
      </c>
      <c r="V26" s="31" t="s">
        <v>100</v>
      </c>
      <c r="W26" s="11" t="str">
        <f>CONCATENATE('入力(専門科目)'!F10)</f>
        <v>測量学</v>
      </c>
      <c r="X26" s="11">
        <v>2</v>
      </c>
      <c r="Y26" s="11">
        <f>'入力(専門科目)'!G10</f>
        <v>0</v>
      </c>
      <c r="Z26" s="237">
        <f t="shared" si="8"/>
        <v>0</v>
      </c>
      <c r="AB26" s="32" t="str">
        <f>CONCATENATE('入力(理工系，国際ほか)'!B24)</f>
        <v>中国語中級</v>
      </c>
      <c r="AC26" s="12">
        <v>2</v>
      </c>
      <c r="AD26" s="12">
        <f>'入力(理工系，国際ほか)'!C24</f>
        <v>0</v>
      </c>
      <c r="AE26" s="12">
        <f t="shared" si="7"/>
        <v>0</v>
      </c>
      <c r="AF26" s="354"/>
    </row>
    <row r="27" spans="2:32" ht="13.5">
      <c r="B27" s="11" t="str">
        <f>CONCATENATE('入力(文系・総合)'!B28)</f>
        <v>ゲーム理論入門</v>
      </c>
      <c r="C27" s="7">
        <v>2</v>
      </c>
      <c r="D27" s="7">
        <f>'入力(文系・総合)'!C28</f>
        <v>0</v>
      </c>
      <c r="E27" s="7">
        <f t="shared" si="0"/>
        <v>0</v>
      </c>
      <c r="G27" s="11" t="str">
        <f>CONCATENATE('入力(文系・総合)'!F28)</f>
        <v>メディア心理学</v>
      </c>
      <c r="H27" s="7">
        <v>2</v>
      </c>
      <c r="I27" s="7">
        <f>'入力(文系・総合)'!G28</f>
        <v>0</v>
      </c>
      <c r="J27" s="7">
        <f t="shared" si="3"/>
        <v>0</v>
      </c>
      <c r="Q27" s="11" t="str">
        <f>CONCATENATE('入力(理工系，国際ほか)'!F26)</f>
        <v>宇宙地球科学B</v>
      </c>
      <c r="R27" s="7">
        <v>2</v>
      </c>
      <c r="S27" s="7">
        <f>'入力(理工系，国際ほか)'!G26</f>
        <v>0</v>
      </c>
      <c r="T27" s="7">
        <f t="shared" si="1"/>
        <v>0</v>
      </c>
      <c r="V27" s="31" t="s">
        <v>101</v>
      </c>
      <c r="W27" s="11" t="str">
        <f>CONCATENATE('入力(専門科目)'!F11)</f>
        <v>測量学実習</v>
      </c>
      <c r="X27" s="11">
        <v>1</v>
      </c>
      <c r="Y27" s="11">
        <f>'入力(専門科目)'!G11</f>
        <v>0</v>
      </c>
      <c r="Z27" s="237">
        <f t="shared" si="8"/>
        <v>0</v>
      </c>
      <c r="AB27" s="7" t="s">
        <v>29</v>
      </c>
      <c r="AF27" s="7">
        <f>MAX(AF15,AF18,AF21,AF24)</f>
        <v>0</v>
      </c>
    </row>
    <row r="28" spans="2:27" ht="13.5">
      <c r="B28" s="11">
        <f>CONCATENATE('入力(文系・総合)'!B29)</f>
      </c>
      <c r="C28" s="7">
        <v>2</v>
      </c>
      <c r="D28" s="7">
        <f>'入力(文系・総合)'!C29</f>
        <v>0</v>
      </c>
      <c r="E28" s="7">
        <f t="shared" si="0"/>
        <v>0</v>
      </c>
      <c r="G28" s="11" t="str">
        <f>CONCATENATE('入力(文系・総合)'!F29)</f>
        <v>心理学</v>
      </c>
      <c r="H28" s="7">
        <v>2</v>
      </c>
      <c r="I28" s="7">
        <f>'入力(文系・総合)'!G29</f>
        <v>0</v>
      </c>
      <c r="J28" s="7">
        <f t="shared" si="3"/>
        <v>0</v>
      </c>
      <c r="L28" s="7" t="s">
        <v>167</v>
      </c>
      <c r="O28" s="7">
        <f>SUM(O5:O26)</f>
        <v>0</v>
      </c>
      <c r="Q28" s="11" t="str">
        <f>CONCATENATE('入力(理工系，国際ほか)'!F27)</f>
        <v>宇宙地球科学実験</v>
      </c>
      <c r="R28" s="7">
        <v>1.5</v>
      </c>
      <c r="S28" s="7">
        <f>'入力(理工系，国際ほか)'!G27</f>
        <v>0</v>
      </c>
      <c r="T28" s="7">
        <f t="shared" si="1"/>
        <v>0</v>
      </c>
      <c r="V28" s="31" t="s">
        <v>100</v>
      </c>
      <c r="W28" s="11" t="str">
        <f>CONCATENATE('入力(専門科目)'!F12)</f>
        <v>工業数学第二・演習</v>
      </c>
      <c r="X28" s="11">
        <v>2</v>
      </c>
      <c r="Y28" s="11">
        <f>'入力(専門科目)'!G12</f>
        <v>0</v>
      </c>
      <c r="Z28" s="237">
        <f t="shared" si="8"/>
        <v>0</v>
      </c>
      <c r="AA28" s="5" t="s">
        <v>122</v>
      </c>
    </row>
    <row r="29" spans="2:31" ht="13.5">
      <c r="B29" s="11">
        <f>CONCATENATE('入力(文系・総合)'!B30)</f>
      </c>
      <c r="C29" s="7">
        <v>2</v>
      </c>
      <c r="D29" s="7">
        <f>'入力(文系・総合)'!C30</f>
        <v>0</v>
      </c>
      <c r="E29" s="7">
        <f t="shared" si="0"/>
        <v>0</v>
      </c>
      <c r="G29" s="11" t="str">
        <f>CONCATENATE('入力(文系・総合)'!F30)</f>
        <v>認知科学</v>
      </c>
      <c r="H29" s="7">
        <v>2</v>
      </c>
      <c r="I29" s="7">
        <f>'入力(文系・総合)'!G30</f>
        <v>0</v>
      </c>
      <c r="J29" s="7">
        <f t="shared" si="3"/>
        <v>0</v>
      </c>
      <c r="Q29" s="11" t="str">
        <f>CONCATENATE('入力(理工系，国際ほか)'!F28)</f>
        <v>図学・図形科学第1</v>
      </c>
      <c r="R29" s="7">
        <v>2</v>
      </c>
      <c r="S29" s="7">
        <f>'入力(理工系，国際ほか)'!G28</f>
        <v>0</v>
      </c>
      <c r="T29" s="7">
        <f aca="true" t="shared" si="9" ref="T29:T34">IF(S29&gt;59,1*R29,0)</f>
        <v>0</v>
      </c>
      <c r="V29" s="31"/>
      <c r="W29" s="11" t="str">
        <f>CONCATENATE('入力(専門科目)'!F13)</f>
        <v>空間ﾃﾞｻﾞｲﾝ</v>
      </c>
      <c r="X29" s="11">
        <v>2</v>
      </c>
      <c r="Y29" s="11">
        <f>'入力(専門科目)'!G13</f>
        <v>0</v>
      </c>
      <c r="Z29" s="237">
        <f t="shared" si="8"/>
        <v>0</v>
      </c>
      <c r="AB29" s="11" t="str">
        <f>CONCATENATE('入力(理工系，国際ほか)'!B27)</f>
        <v>ｱｶﾃﾞﾐｯｸﾘｰﾃﾞｨﾝｸﾞAⅠ</v>
      </c>
      <c r="AC29" s="7">
        <v>2</v>
      </c>
      <c r="AD29" s="7">
        <f>'入力(理工系，国際ほか)'!C27</f>
        <v>0</v>
      </c>
      <c r="AE29" s="7">
        <f aca="true" t="shared" si="10" ref="AE29:AE70">IF(AD29&gt;59,1*AC29,0)</f>
        <v>0</v>
      </c>
    </row>
    <row r="30" spans="2:31" ht="13.5">
      <c r="B30" s="11">
        <f>CONCATENATE('入力(文系・総合)'!B31)</f>
      </c>
      <c r="C30" s="7">
        <v>2</v>
      </c>
      <c r="D30" s="7">
        <f>'入力(文系・総合)'!C31</f>
        <v>0</v>
      </c>
      <c r="E30" s="7">
        <f t="shared" si="0"/>
        <v>0</v>
      </c>
      <c r="G30" s="11" t="str">
        <f>CONCATENATE('入力(文系・総合)'!F31)</f>
        <v>応用心理学</v>
      </c>
      <c r="H30" s="7">
        <v>2</v>
      </c>
      <c r="I30" s="7">
        <f>'入力(文系・総合)'!G31</f>
        <v>0</v>
      </c>
      <c r="J30" s="7">
        <f t="shared" si="3"/>
        <v>0</v>
      </c>
      <c r="K30" s="7" t="s">
        <v>392</v>
      </c>
      <c r="Q30" s="11" t="str">
        <f>CONCATENATE('入力(理工系，国際ほか)'!F29)</f>
        <v>図学・図形デザイン第1</v>
      </c>
      <c r="R30" s="7">
        <v>2</v>
      </c>
      <c r="S30" s="7">
        <f>'入力(理工系，国際ほか)'!G29</f>
        <v>0</v>
      </c>
      <c r="T30" s="7">
        <f t="shared" si="9"/>
        <v>0</v>
      </c>
      <c r="V30" s="31" t="s">
        <v>101</v>
      </c>
      <c r="W30" s="11" t="str">
        <f>CONCATENATE('入力(専門科目)'!F14)</f>
        <v>ｲﾝﾌﾗｽﾄﾗｸﾁｬｰの計画と設計</v>
      </c>
      <c r="X30" s="11">
        <v>1.5</v>
      </c>
      <c r="Y30" s="11">
        <f>'入力(専門科目)'!G14</f>
        <v>0</v>
      </c>
      <c r="Z30" s="237">
        <f t="shared" si="8"/>
        <v>0</v>
      </c>
      <c r="AB30" s="11" t="str">
        <f>CONCATENATE('入力(理工系，国際ほか)'!B28)</f>
        <v>ｱｶﾃﾞﾐｯｸﾘｰﾃﾞｨﾝｸﾞAⅡ</v>
      </c>
      <c r="AC30" s="7">
        <v>2</v>
      </c>
      <c r="AD30" s="7">
        <f>'入力(理工系，国際ほか)'!C28</f>
        <v>0</v>
      </c>
      <c r="AE30" s="7">
        <f t="shared" si="10"/>
        <v>0</v>
      </c>
    </row>
    <row r="31" spans="2:31" ht="13.5">
      <c r="B31" s="11">
        <f>CONCATENATE('入力(文系・総合)'!B32)</f>
      </c>
      <c r="C31" s="7">
        <v>2</v>
      </c>
      <c r="D31" s="7">
        <f>'入力(文系・総合)'!C32</f>
        <v>0</v>
      </c>
      <c r="E31" s="7">
        <f t="shared" si="0"/>
        <v>0</v>
      </c>
      <c r="G31" s="11" t="str">
        <f>CONCATENATE('入力(文系・総合)'!F32)</f>
        <v>人格心理学</v>
      </c>
      <c r="H31" s="7">
        <v>2</v>
      </c>
      <c r="I31" s="7">
        <f>'入力(文系・総合)'!G32</f>
        <v>0</v>
      </c>
      <c r="J31" s="7">
        <f t="shared" si="3"/>
        <v>0</v>
      </c>
      <c r="L31" s="11">
        <f>CONCATENATE('入力(文系・総合)'!J30)</f>
      </c>
      <c r="M31" s="7">
        <v>2</v>
      </c>
      <c r="N31" s="7">
        <f>'入力(文系・総合)'!K30</f>
        <v>0</v>
      </c>
      <c r="O31" s="7">
        <f aca="true" t="shared" si="11" ref="O31:O36">IF(N31&gt;59,1*M31,0)</f>
        <v>0</v>
      </c>
      <c r="Q31" s="11" t="str">
        <f>CONCATENATE('入力(理工系，国際ほか)'!F30)</f>
        <v>図学・図形科学第2</v>
      </c>
      <c r="R31" s="7">
        <v>2</v>
      </c>
      <c r="S31" s="7">
        <f>'入力(理工系，国際ほか)'!G30</f>
        <v>0</v>
      </c>
      <c r="T31" s="7">
        <f t="shared" si="9"/>
        <v>0</v>
      </c>
      <c r="V31" s="31"/>
      <c r="W31" s="11" t="str">
        <f>CONCATENATE('入力(専門科目)'!F15)</f>
        <v>Civil Engineering English 1</v>
      </c>
      <c r="X31" s="11">
        <v>2</v>
      </c>
      <c r="Y31" s="11">
        <f>'入力(専門科目)'!G15</f>
        <v>0</v>
      </c>
      <c r="Z31" s="237">
        <f t="shared" si="8"/>
        <v>0</v>
      </c>
      <c r="AB31" s="11" t="str">
        <f>CONCATENATE('入力(理工系，国際ほか)'!B29)</f>
        <v>ｱｶﾃﾞﾐｯｸﾘｰﾃﾞｨﾝｸﾞBⅠ</v>
      </c>
      <c r="AC31" s="7">
        <v>2</v>
      </c>
      <c r="AD31" s="7">
        <f>'入力(理工系，国際ほか)'!C29</f>
        <v>0</v>
      </c>
      <c r="AE31" s="7">
        <f t="shared" si="10"/>
        <v>0</v>
      </c>
    </row>
    <row r="32" spans="2:31" ht="13.5">
      <c r="B32" s="11">
        <f>CONCATENATE('入力(文系・総合)'!B33)</f>
      </c>
      <c r="C32" s="7">
        <v>2</v>
      </c>
      <c r="D32" s="7">
        <f>'入力(文系・総合)'!C33</f>
        <v>0</v>
      </c>
      <c r="E32" s="7">
        <f t="shared" si="0"/>
        <v>0</v>
      </c>
      <c r="G32" s="11" t="str">
        <f>CONCATENATE('入力(文系・総合)'!F33)</f>
        <v>文化人類学</v>
      </c>
      <c r="H32" s="7">
        <v>2</v>
      </c>
      <c r="I32" s="7">
        <f>'入力(文系・総合)'!G33</f>
        <v>0</v>
      </c>
      <c r="J32" s="7">
        <f t="shared" si="3"/>
        <v>0</v>
      </c>
      <c r="L32" s="11">
        <f>CONCATENATE('入力(文系・総合)'!J31)</f>
      </c>
      <c r="M32" s="7">
        <v>2</v>
      </c>
      <c r="N32" s="7">
        <f>'入力(文系・総合)'!K31</f>
        <v>0</v>
      </c>
      <c r="O32" s="7">
        <f t="shared" si="11"/>
        <v>0</v>
      </c>
      <c r="Q32" s="11" t="str">
        <f>CONCATENATE('入力(理工系，国際ほか)'!F31)</f>
        <v>図学・図形デザイン第2</v>
      </c>
      <c r="R32" s="7">
        <v>2</v>
      </c>
      <c r="S32" s="7">
        <f>'入力(理工系，国際ほか)'!G31</f>
        <v>0</v>
      </c>
      <c r="T32" s="7">
        <f t="shared" si="9"/>
        <v>0</v>
      </c>
      <c r="V32" s="32"/>
      <c r="W32" s="12">
        <f>CONCATENATE('入力(専門科目)'!F16)</f>
      </c>
      <c r="X32" s="12"/>
      <c r="Y32" s="12">
        <f>'入力(専門科目)'!G16</f>
        <v>0</v>
      </c>
      <c r="Z32" s="238">
        <f t="shared" si="8"/>
        <v>0</v>
      </c>
      <c r="AB32" s="11" t="str">
        <f>CONCATENATE('入力(理工系，国際ほか)'!B30)</f>
        <v>ｱｶﾃﾞﾐｯｸﾘｰﾃﾞｨﾝｸBⅡ</v>
      </c>
      <c r="AC32" s="7">
        <v>2</v>
      </c>
      <c r="AD32" s="7">
        <f>'入力(理工系，国際ほか)'!C30</f>
        <v>0</v>
      </c>
      <c r="AE32" s="7">
        <f t="shared" si="10"/>
        <v>0</v>
      </c>
    </row>
    <row r="33" spans="2:31" ht="13.5">
      <c r="B33" s="11">
        <f>CONCATENATE('入力(文系・総合)'!B34)</f>
      </c>
      <c r="C33" s="7">
        <v>2</v>
      </c>
      <c r="D33" s="7">
        <f>'入力(文系・総合)'!C34</f>
        <v>0</v>
      </c>
      <c r="E33" s="7">
        <f t="shared" si="0"/>
        <v>0</v>
      </c>
      <c r="G33" s="11" t="str">
        <f>CONCATENATE('入力(文系・総合)'!F34)</f>
        <v>文化社会論</v>
      </c>
      <c r="H33" s="7">
        <v>2</v>
      </c>
      <c r="I33" s="7">
        <f>'入力(文系・総合)'!G34</f>
        <v>0</v>
      </c>
      <c r="J33" s="7">
        <f t="shared" si="3"/>
        <v>0</v>
      </c>
      <c r="L33" s="11">
        <f>CONCATENATE('入力(文系・総合)'!J32)</f>
      </c>
      <c r="M33" s="7">
        <v>2</v>
      </c>
      <c r="N33" s="7">
        <f>'入力(文系・総合)'!K32</f>
        <v>0</v>
      </c>
      <c r="O33" s="7">
        <f t="shared" si="11"/>
        <v>0</v>
      </c>
      <c r="Q33" s="11" t="str">
        <f>CONCATENATE('入力(理工系，国際ほか)'!F32)</f>
        <v>図学製図</v>
      </c>
      <c r="R33" s="7">
        <v>1</v>
      </c>
      <c r="S33" s="7">
        <f>'入力(理工系，国際ほか)'!G32</f>
        <v>0</v>
      </c>
      <c r="T33" s="7">
        <f t="shared" si="9"/>
        <v>0</v>
      </c>
      <c r="AB33" s="11" t="str">
        <f>CONCATENATE('入力(理工系，国際ほか)'!B31)</f>
        <v>英語ｾﾐﾅｰAⅠ</v>
      </c>
      <c r="AC33" s="7">
        <v>2</v>
      </c>
      <c r="AD33" s="7">
        <f>'入力(理工系，国際ほか)'!C31</f>
        <v>0</v>
      </c>
      <c r="AE33" s="7">
        <f t="shared" si="10"/>
        <v>0</v>
      </c>
    </row>
    <row r="34" spans="2:31" ht="13.5">
      <c r="B34" s="11">
        <f>CONCATENATE('入力(文系・総合)'!B35)</f>
      </c>
      <c r="C34" s="7">
        <v>2</v>
      </c>
      <c r="D34" s="7">
        <f>'入力(文系・総合)'!C35</f>
        <v>0</v>
      </c>
      <c r="E34" s="7">
        <f t="shared" si="0"/>
        <v>0</v>
      </c>
      <c r="G34" s="11" t="str">
        <f>CONCATENATE('入力(文系・総合)'!F35)</f>
        <v>憲法</v>
      </c>
      <c r="H34" s="7">
        <v>2</v>
      </c>
      <c r="I34" s="7">
        <f>'入力(文系・総合)'!G35</f>
        <v>0</v>
      </c>
      <c r="J34" s="7">
        <f t="shared" si="3"/>
        <v>0</v>
      </c>
      <c r="L34" s="11">
        <f>CONCATENATE('入力(文系・総合)'!J33)</f>
      </c>
      <c r="M34" s="7">
        <v>2</v>
      </c>
      <c r="N34" s="7">
        <f>'入力(文系・総合)'!K33</f>
        <v>0</v>
      </c>
      <c r="O34" s="7">
        <f t="shared" si="11"/>
        <v>0</v>
      </c>
      <c r="Q34" s="11" t="str">
        <f>CONCATENATE('入力(理工系，国際ほか)'!F33)</f>
        <v>ｺﾝﾋﾟｭｰﾀｻｲｴﾝｽ入門</v>
      </c>
      <c r="R34" s="7">
        <v>2</v>
      </c>
      <c r="S34" s="7">
        <f>'入力(理工系，国際ほか)'!G33</f>
        <v>0</v>
      </c>
      <c r="T34" s="7">
        <f t="shared" si="9"/>
        <v>0</v>
      </c>
      <c r="V34" s="30" t="s">
        <v>100</v>
      </c>
      <c r="W34" s="10" t="str">
        <f>CONCATENATE('入力(専門科目)'!B18)</f>
        <v>構造力学第2</v>
      </c>
      <c r="X34" s="10">
        <v>2</v>
      </c>
      <c r="Y34" s="10">
        <f>'入力(専門科目)'!C18</f>
        <v>0</v>
      </c>
      <c r="Z34" s="236">
        <f aca="true" t="shared" si="12" ref="Z34:Z45">IF(Y34&gt;59,1*X34,0)</f>
        <v>0</v>
      </c>
      <c r="AB34" s="11" t="str">
        <f>CONCATENATE('入力(理工系，国際ほか)'!B32)</f>
        <v>英語ｾﾐﾅｰAⅡ</v>
      </c>
      <c r="AC34" s="7">
        <v>2</v>
      </c>
      <c r="AD34" s="7">
        <f>'入力(理工系，国際ほか)'!C32</f>
        <v>0</v>
      </c>
      <c r="AE34" s="7">
        <f t="shared" si="10"/>
        <v>0</v>
      </c>
    </row>
    <row r="35" spans="2:31" ht="13.5">
      <c r="B35" s="11">
        <f>CONCATENATE('入力(文系・総合)'!B36)</f>
      </c>
      <c r="C35" s="7">
        <v>2</v>
      </c>
      <c r="D35" s="7">
        <f>'入力(文系・総合)'!C36</f>
        <v>0</v>
      </c>
      <c r="E35" s="7">
        <f t="shared" si="0"/>
        <v>0</v>
      </c>
      <c r="G35" s="11" t="str">
        <f>CONCATENATE('入力(文系・総合)'!F36)</f>
        <v>法学</v>
      </c>
      <c r="H35" s="7">
        <v>2</v>
      </c>
      <c r="I35" s="7">
        <f>'入力(文系・総合)'!G36</f>
        <v>0</v>
      </c>
      <c r="J35" s="7">
        <f t="shared" si="3"/>
        <v>0</v>
      </c>
      <c r="L35" s="11">
        <f>CONCATENATE('入力(文系・総合)'!J34)</f>
      </c>
      <c r="M35" s="7">
        <v>2</v>
      </c>
      <c r="N35" s="7">
        <f>'入力(文系・総合)'!K34</f>
        <v>0</v>
      </c>
      <c r="O35" s="7">
        <f t="shared" si="11"/>
        <v>0</v>
      </c>
      <c r="Q35" s="7" t="s">
        <v>29</v>
      </c>
      <c r="T35" s="7">
        <f>SUM(T4:T34)</f>
        <v>0</v>
      </c>
      <c r="V35" s="31" t="s">
        <v>100</v>
      </c>
      <c r="W35" s="11" t="str">
        <f>CONCATENATE('入力(専門科目)'!B19)</f>
        <v>水理学第2</v>
      </c>
      <c r="X35" s="11">
        <v>2</v>
      </c>
      <c r="Y35" s="11">
        <f>'入力(専門科目)'!C19</f>
        <v>0</v>
      </c>
      <c r="Z35" s="237">
        <f t="shared" si="12"/>
        <v>0</v>
      </c>
      <c r="AB35" s="11" t="str">
        <f>CONCATENATE('入力(理工系，国際ほか)'!B33)</f>
        <v>英語ｾﾐﾅｰBⅠ</v>
      </c>
      <c r="AC35" s="7">
        <v>2</v>
      </c>
      <c r="AD35" s="7">
        <f>'入力(理工系，国際ほか)'!C33</f>
        <v>0</v>
      </c>
      <c r="AE35" s="7">
        <f t="shared" si="10"/>
        <v>0</v>
      </c>
    </row>
    <row r="36" spans="2:31" ht="13.5">
      <c r="B36" s="11">
        <f>CONCATENATE('入力(文系・総合)'!B37)</f>
      </c>
      <c r="C36" s="7">
        <v>2</v>
      </c>
      <c r="D36" s="7">
        <f>'入力(文系・総合)'!C37</f>
        <v>0</v>
      </c>
      <c r="E36" s="7">
        <f t="shared" si="0"/>
        <v>0</v>
      </c>
      <c r="G36" s="11" t="str">
        <f>CONCATENATE('入力(文系・総合)'!F37)</f>
        <v>民事法</v>
      </c>
      <c r="H36" s="7">
        <v>2</v>
      </c>
      <c r="I36" s="7">
        <f>'入力(文系・総合)'!G37</f>
        <v>0</v>
      </c>
      <c r="J36" s="7">
        <f t="shared" si="3"/>
        <v>0</v>
      </c>
      <c r="L36" s="11">
        <f>CONCATENATE('入力(文系・総合)'!J35)</f>
      </c>
      <c r="M36" s="7">
        <v>2</v>
      </c>
      <c r="N36" s="7">
        <f>'入力(文系・総合)'!K35</f>
        <v>0</v>
      </c>
      <c r="O36" s="7">
        <f t="shared" si="11"/>
        <v>0</v>
      </c>
      <c r="V36" s="31" t="s">
        <v>100</v>
      </c>
      <c r="W36" s="11" t="str">
        <f>CONCATENATE('入力(専門科目)'!B20)</f>
        <v>土質基礎工学</v>
      </c>
      <c r="X36" s="11">
        <v>2</v>
      </c>
      <c r="Y36" s="11">
        <f>'入力(専門科目)'!C20</f>
        <v>0</v>
      </c>
      <c r="Z36" s="237">
        <f t="shared" si="12"/>
        <v>0</v>
      </c>
      <c r="AB36" s="11" t="str">
        <f>CONCATENATE('入力(理工系，国際ほか)'!B34)</f>
        <v>英語ｾﾐﾅｰBⅡ</v>
      </c>
      <c r="AC36" s="7">
        <v>2</v>
      </c>
      <c r="AD36" s="7">
        <f>'入力(理工系，国際ほか)'!C34</f>
        <v>0</v>
      </c>
      <c r="AE36" s="7">
        <f t="shared" si="10"/>
        <v>0</v>
      </c>
    </row>
    <row r="37" spans="2:31" ht="13.5">
      <c r="B37" s="11">
        <f>CONCATENATE('入力(文系・総合)'!B38)</f>
      </c>
      <c r="C37" s="7">
        <v>2</v>
      </c>
      <c r="D37" s="7">
        <f>'入力(文系・総合)'!C38</f>
        <v>0</v>
      </c>
      <c r="E37" s="7">
        <f t="shared" si="0"/>
        <v>0</v>
      </c>
      <c r="G37" s="11" t="str">
        <f>CONCATENATE('入力(文系・総合)'!F38)</f>
        <v>国際関係論 第一</v>
      </c>
      <c r="H37" s="7">
        <v>2</v>
      </c>
      <c r="I37" s="7">
        <f>'入力(文系・総合)'!G38</f>
        <v>0</v>
      </c>
      <c r="J37" s="7">
        <f aca="true" t="shared" si="13" ref="J37:J45">IF(I37&gt;59,1*H37,0)</f>
        <v>0</v>
      </c>
      <c r="V37" s="31" t="s">
        <v>100</v>
      </c>
      <c r="W37" s="11" t="str">
        <f>CONCATENATE('入力(専門科目)'!B21)</f>
        <v>ｺﾝｸﾘｰﾄ構造</v>
      </c>
      <c r="X37" s="11">
        <v>2</v>
      </c>
      <c r="Y37" s="11">
        <f>'入力(専門科目)'!C21</f>
        <v>0</v>
      </c>
      <c r="Z37" s="237">
        <f t="shared" si="12"/>
        <v>0</v>
      </c>
      <c r="AB37" s="11" t="str">
        <f>CONCATENATE('入力(理工系，国際ほか)'!B35)</f>
        <v>ｱｶﾃﾞﾐｯｸﾗｲﾃﾞｨﾝｸﾞBⅠ</v>
      </c>
      <c r="AC37" s="7">
        <v>2</v>
      </c>
      <c r="AD37" s="7">
        <f>'入力(理工系，国際ほか)'!C35</f>
        <v>0</v>
      </c>
      <c r="AE37" s="7">
        <f t="shared" si="10"/>
        <v>0</v>
      </c>
    </row>
    <row r="38" spans="2:31" ht="13.5">
      <c r="B38" s="11">
        <f>CONCATENATE('入力(文系・総合)'!B39)</f>
      </c>
      <c r="C38" s="7">
        <v>2</v>
      </c>
      <c r="D38" s="7">
        <f>'入力(文系・総合)'!C39</f>
        <v>0</v>
      </c>
      <c r="E38" s="7">
        <f t="shared" si="0"/>
        <v>0</v>
      </c>
      <c r="G38" s="11" t="str">
        <f>CONCATENATE('入力(文系・総合)'!F39)</f>
        <v>国際関係論 第二</v>
      </c>
      <c r="H38" s="7">
        <v>2</v>
      </c>
      <c r="I38" s="7">
        <f>'入力(文系・総合)'!G39</f>
        <v>0</v>
      </c>
      <c r="J38" s="7">
        <f t="shared" si="13"/>
        <v>0</v>
      </c>
      <c r="L38" s="7" t="s">
        <v>167</v>
      </c>
      <c r="O38" s="7">
        <f>SUM(O31:O36)</f>
        <v>0</v>
      </c>
      <c r="V38" s="31" t="s">
        <v>100</v>
      </c>
      <c r="W38" s="11" t="str">
        <f>CONCATENATE('入力(専門科目)'!B22)</f>
        <v>交通計画</v>
      </c>
      <c r="X38" s="11">
        <v>2</v>
      </c>
      <c r="Y38" s="11">
        <f>'入力(専門科目)'!C22</f>
        <v>0</v>
      </c>
      <c r="Z38" s="237">
        <f t="shared" si="12"/>
        <v>0</v>
      </c>
      <c r="AB38" s="11" t="str">
        <f>CONCATENATE('入力(理工系，国際ほか)'!B36)</f>
        <v>ｱｶﾃﾞﾐｯｸﾗｲﾃﾞｨﾝｸﾞBⅡ</v>
      </c>
      <c r="AC38" s="7">
        <v>2</v>
      </c>
      <c r="AD38" s="7">
        <f>'入力(理工系，国際ほか)'!C36</f>
        <v>0</v>
      </c>
      <c r="AE38" s="7">
        <f t="shared" si="10"/>
        <v>0</v>
      </c>
    </row>
    <row r="39" spans="2:31" ht="13.5">
      <c r="B39" s="11">
        <f>CONCATENATE('入力(文系・総合)'!B41)</f>
      </c>
      <c r="C39" s="7">
        <v>2</v>
      </c>
      <c r="D39" s="7">
        <f>'入力(文系・総合)'!C41</f>
        <v>0</v>
      </c>
      <c r="E39" s="7">
        <f t="shared" si="0"/>
        <v>0</v>
      </c>
      <c r="G39" s="11" t="str">
        <f>CONCATENATE('入力(文系・総合)'!F40)</f>
        <v>政治学 第一</v>
      </c>
      <c r="H39" s="7">
        <v>2</v>
      </c>
      <c r="I39" s="7">
        <f>'入力(文系・総合)'!G40</f>
        <v>0</v>
      </c>
      <c r="J39" s="7">
        <f t="shared" si="13"/>
        <v>0</v>
      </c>
      <c r="V39" s="31"/>
      <c r="W39" s="11" t="str">
        <f>CONCATENATE('入力(専門科目)'!B23)</f>
        <v>水環境計画</v>
      </c>
      <c r="X39" s="11">
        <v>2</v>
      </c>
      <c r="Y39" s="11">
        <f>'入力(専門科目)'!C23</f>
        <v>0</v>
      </c>
      <c r="Z39" s="237">
        <f t="shared" si="12"/>
        <v>0</v>
      </c>
      <c r="AB39" s="11" t="str">
        <f>CONCATENATE('入力(理工系，国際ほか)'!B37)</f>
        <v>英語口頭表現演習AⅠ</v>
      </c>
      <c r="AC39" s="7">
        <v>2</v>
      </c>
      <c r="AD39" s="7">
        <f>'入力(理工系，国際ほか)'!C37</f>
        <v>0</v>
      </c>
      <c r="AE39" s="7">
        <f t="shared" si="10"/>
        <v>0</v>
      </c>
    </row>
    <row r="40" spans="2:31" ht="13.5">
      <c r="B40" s="11">
        <f>CONCATENATE('入力(文系・総合)'!B42)</f>
      </c>
      <c r="C40" s="7">
        <v>2</v>
      </c>
      <c r="D40" s="7">
        <f>'入力(文系・総合)'!C42</f>
        <v>0</v>
      </c>
      <c r="E40" s="7">
        <f t="shared" si="0"/>
        <v>0</v>
      </c>
      <c r="G40" s="11" t="str">
        <f>CONCATENATE('入力(文系・総合)'!F41)</f>
        <v>政治学 第二</v>
      </c>
      <c r="H40" s="7">
        <v>2</v>
      </c>
      <c r="I40" s="7">
        <f>'入力(文系・総合)'!G41</f>
        <v>0</v>
      </c>
      <c r="J40" s="7">
        <f t="shared" si="13"/>
        <v>0</v>
      </c>
      <c r="K40" s="7" t="s">
        <v>400</v>
      </c>
      <c r="V40" s="31" t="s">
        <v>100</v>
      </c>
      <c r="W40" s="11" t="str">
        <f>CONCATENATE('入力(専門科目)'!B24)</f>
        <v>鋼構造の設計</v>
      </c>
      <c r="X40" s="11">
        <v>2</v>
      </c>
      <c r="Y40" s="11">
        <f>'入力(専門科目)'!C24</f>
        <v>0</v>
      </c>
      <c r="Z40" s="237">
        <f t="shared" si="12"/>
        <v>0</v>
      </c>
      <c r="AB40" s="11" t="str">
        <f>CONCATENATE('入力(理工系，国際ほか)'!B38)</f>
        <v>英語口頭表現演習AⅡ</v>
      </c>
      <c r="AC40" s="7">
        <v>2</v>
      </c>
      <c r="AD40" s="7">
        <f>'入力(理工系，国際ほか)'!C38</f>
        <v>0</v>
      </c>
      <c r="AE40" s="7">
        <f t="shared" si="10"/>
        <v>0</v>
      </c>
    </row>
    <row r="41" spans="2:31" ht="13.5">
      <c r="B41" s="11">
        <f>CONCATENATE('入力(文系・総合)'!B43)</f>
      </c>
      <c r="C41" s="7">
        <v>2</v>
      </c>
      <c r="D41" s="7">
        <f>'入力(文系・総合)'!C43</f>
        <v>0</v>
      </c>
      <c r="E41" s="7">
        <f t="shared" si="0"/>
        <v>0</v>
      </c>
      <c r="G41" s="11" t="str">
        <f>CONCATENATE('入力(文系・総合)'!F42)</f>
        <v>ミクロ経済学</v>
      </c>
      <c r="H41" s="7">
        <v>2</v>
      </c>
      <c r="I41" s="7">
        <f>'入力(文系・総合)'!G42</f>
        <v>0</v>
      </c>
      <c r="J41" s="7">
        <f t="shared" si="13"/>
        <v>0</v>
      </c>
      <c r="L41" s="11" t="str">
        <f>CONCATENATE('入力(文系・総合)'!N5)</f>
        <v>システム知の探求</v>
      </c>
      <c r="M41" s="7">
        <v>2</v>
      </c>
      <c r="N41" s="7">
        <f>'入力(文系・総合)'!O5</f>
        <v>0</v>
      </c>
      <c r="O41" s="7">
        <f aca="true" t="shared" si="14" ref="O41:O64">IF(N41&gt;59,1*M41,0)</f>
        <v>0</v>
      </c>
      <c r="V41" s="31"/>
      <c r="W41" s="11" t="str">
        <f>CONCATENATE('入力(専門科目)'!B25)</f>
        <v>公共経済学</v>
      </c>
      <c r="X41" s="11">
        <v>2</v>
      </c>
      <c r="Y41" s="11">
        <f>'入力(専門科目)'!C25</f>
        <v>0</v>
      </c>
      <c r="Z41" s="237">
        <f t="shared" si="12"/>
        <v>0</v>
      </c>
      <c r="AB41" s="11" t="str">
        <f>CONCATENATE('入力(理工系，国際ほか)'!B39)</f>
        <v>英語口頭表現演習BⅠ</v>
      </c>
      <c r="AC41" s="7">
        <v>2</v>
      </c>
      <c r="AD41" s="7">
        <f>'入力(理工系，国際ほか)'!C39</f>
        <v>0</v>
      </c>
      <c r="AE41" s="7">
        <f t="shared" si="10"/>
        <v>0</v>
      </c>
    </row>
    <row r="42" spans="2:31" ht="13.5">
      <c r="B42" s="11">
        <f>CONCATENATE('入力(文系・総合)'!B44)</f>
      </c>
      <c r="C42" s="7">
        <v>2</v>
      </c>
      <c r="D42" s="7">
        <f>'入力(文系・総合)'!C44</f>
        <v>0</v>
      </c>
      <c r="E42" s="7">
        <f t="shared" si="0"/>
        <v>0</v>
      </c>
      <c r="G42" s="11" t="str">
        <f>CONCATENATE('入力(文系・総合)'!F43)</f>
        <v>マクロ経済学</v>
      </c>
      <c r="H42" s="7">
        <v>2</v>
      </c>
      <c r="I42" s="7">
        <f>'入力(文系・総合)'!G43</f>
        <v>0</v>
      </c>
      <c r="J42" s="7">
        <f t="shared" si="13"/>
        <v>0</v>
      </c>
      <c r="L42" s="11" t="str">
        <f>CONCATENATE('入力(文系・総合)'!N6)</f>
        <v>科学技術コミュニケーション入門</v>
      </c>
      <c r="M42" s="7">
        <v>2</v>
      </c>
      <c r="N42" s="7">
        <f>'入力(文系・総合)'!O6</f>
        <v>0</v>
      </c>
      <c r="O42" s="7">
        <f t="shared" si="14"/>
        <v>0</v>
      </c>
      <c r="V42" s="31"/>
      <c r="W42" s="11" t="str">
        <f>CONCATENATE('入力(専門科目)'!B26)</f>
        <v>土木・環境工学ｺﾛｷｳﾑ</v>
      </c>
      <c r="X42" s="11">
        <v>2</v>
      </c>
      <c r="Y42" s="11">
        <f>'入力(専門科目)'!C26</f>
        <v>0</v>
      </c>
      <c r="Z42" s="237">
        <f t="shared" si="12"/>
        <v>0</v>
      </c>
      <c r="AB42" s="11" t="str">
        <f>CONCATENATE('入力(理工系，国際ほか)'!B40)</f>
        <v>英語口頭表現演習BⅡ</v>
      </c>
      <c r="AC42" s="7">
        <v>2</v>
      </c>
      <c r="AD42" s="7">
        <f>'入力(理工系，国際ほか)'!C40</f>
        <v>0</v>
      </c>
      <c r="AE42" s="7">
        <f t="shared" si="10"/>
        <v>0</v>
      </c>
    </row>
    <row r="43" spans="2:31" ht="13.5">
      <c r="B43" s="11">
        <f>CONCATENATE('入力(文系・総合)'!B45)</f>
      </c>
      <c r="C43" s="7">
        <v>2</v>
      </c>
      <c r="D43" s="7">
        <f>'入力(文系・総合)'!C45</f>
        <v>0</v>
      </c>
      <c r="E43" s="7">
        <f t="shared" si="0"/>
        <v>0</v>
      </c>
      <c r="G43" s="11" t="str">
        <f>CONCATENATE('入力(文系・総合)'!F44)</f>
        <v>経済学 第一</v>
      </c>
      <c r="H43" s="7">
        <v>2</v>
      </c>
      <c r="I43" s="7">
        <f>'入力(文系・総合)'!G44</f>
        <v>0</v>
      </c>
      <c r="J43" s="7">
        <f t="shared" si="13"/>
        <v>0</v>
      </c>
      <c r="K43"/>
      <c r="L43" s="11" t="str">
        <f>CONCATENATE('入力(文系・総合)'!N7)</f>
        <v>まなざしの日本史</v>
      </c>
      <c r="M43" s="7">
        <v>2</v>
      </c>
      <c r="N43" s="7">
        <f>'入力(文系・総合)'!O7</f>
        <v>0</v>
      </c>
      <c r="O43" s="7">
        <f t="shared" si="14"/>
        <v>0</v>
      </c>
      <c r="V43" s="31"/>
      <c r="W43" s="11" t="str">
        <f>CONCATENATE('入力(専門科目)'!B27)</f>
        <v>環境ジレンマ論</v>
      </c>
      <c r="X43" s="11">
        <v>2</v>
      </c>
      <c r="Y43" s="11">
        <f>'入力(専門科目)'!C27</f>
        <v>0</v>
      </c>
      <c r="Z43" s="237">
        <f t="shared" si="12"/>
        <v>0</v>
      </c>
      <c r="AB43" s="11" t="str">
        <f>CONCATENATE('入力(理工系，国際ほか)'!B41)</f>
        <v>言語文化演習(英語)AⅠ</v>
      </c>
      <c r="AC43" s="7">
        <v>2</v>
      </c>
      <c r="AD43" s="7">
        <f>'入力(理工系，国際ほか)'!C41</f>
        <v>0</v>
      </c>
      <c r="AE43" s="7">
        <f t="shared" si="10"/>
        <v>0</v>
      </c>
    </row>
    <row r="44" spans="2:31" ht="13.5">
      <c r="B44" s="11">
        <f>CONCATENATE('入力(文系・総合)'!B46)</f>
      </c>
      <c r="C44" s="7">
        <v>2</v>
      </c>
      <c r="D44" s="7">
        <f>'入力(文系・総合)'!C46</f>
        <v>0</v>
      </c>
      <c r="E44" s="7">
        <f t="shared" si="0"/>
        <v>0</v>
      </c>
      <c r="G44" s="11" t="str">
        <f>CONCATENATE('入力(文系・総合)'!F45)</f>
        <v>経済学 第二</v>
      </c>
      <c r="H44" s="7">
        <v>2</v>
      </c>
      <c r="I44" s="7">
        <f>'入力(文系・総合)'!G45</f>
        <v>0</v>
      </c>
      <c r="J44" s="7">
        <f t="shared" si="13"/>
        <v>0</v>
      </c>
      <c r="L44" s="11" t="str">
        <f>CONCATENATE('入力(文系・総合)'!N8)</f>
        <v>技術経営入門</v>
      </c>
      <c r="M44" s="7">
        <v>2</v>
      </c>
      <c r="N44" s="7">
        <f>'入力(文系・総合)'!O8</f>
        <v>0</v>
      </c>
      <c r="O44" s="7">
        <f t="shared" si="14"/>
        <v>0</v>
      </c>
      <c r="Q44" s="118" t="s">
        <v>409</v>
      </c>
      <c r="R44" s="118"/>
      <c r="S44" s="118"/>
      <c r="T44" s="118">
        <f>SUM(E50,J86,O28)</f>
        <v>0</v>
      </c>
      <c r="V44" s="31"/>
      <c r="W44" s="11" t="str">
        <f>CONCATENATE('入力(専門科目)'!B28)</f>
        <v>ﾌｨｰﾙﾄﾞﾜｰｸ</v>
      </c>
      <c r="X44" s="11">
        <v>2</v>
      </c>
      <c r="Y44" s="11">
        <f>'入力(専門科目)'!C28</f>
        <v>0</v>
      </c>
      <c r="Z44" s="237">
        <f t="shared" si="12"/>
        <v>0</v>
      </c>
      <c r="AB44" s="11" t="str">
        <f>CONCATENATE('入力(理工系，国際ほか)'!B42)</f>
        <v>言語文化演習(英語)AⅡ</v>
      </c>
      <c r="AC44" s="7">
        <v>2</v>
      </c>
      <c r="AD44" s="7">
        <f>'入力(理工系，国際ほか)'!C42</f>
        <v>0</v>
      </c>
      <c r="AE44" s="7">
        <f t="shared" si="10"/>
        <v>0</v>
      </c>
    </row>
    <row r="45" spans="2:31" ht="13.5">
      <c r="B45" s="11">
        <f>CONCATENATE('入力(文系・総合)'!B47)</f>
      </c>
      <c r="C45" s="7">
        <v>2</v>
      </c>
      <c r="D45" s="7">
        <f>'入力(文系・総合)'!C47</f>
        <v>0</v>
      </c>
      <c r="E45" s="7">
        <f t="shared" si="0"/>
        <v>0</v>
      </c>
      <c r="G45" s="11" t="str">
        <f>CONCATENATE('入力(文系・総合)'!F46)</f>
        <v>社会学基礎</v>
      </c>
      <c r="H45" s="7">
        <v>2</v>
      </c>
      <c r="I45" s="7">
        <f>'入力(文系・総合)'!G46</f>
        <v>0</v>
      </c>
      <c r="J45" s="7">
        <f t="shared" si="13"/>
        <v>0</v>
      </c>
      <c r="L45" s="11" t="str">
        <f>CONCATENATE('入力(文系・総合)'!N9)</f>
        <v>文学を科学する</v>
      </c>
      <c r="M45" s="7">
        <v>2</v>
      </c>
      <c r="N45" s="7">
        <f>'入力(文系・総合)'!O9</f>
        <v>0</v>
      </c>
      <c r="O45" s="7">
        <f t="shared" si="14"/>
        <v>0</v>
      </c>
      <c r="Q45" s="118" t="s">
        <v>299</v>
      </c>
      <c r="R45" s="118"/>
      <c r="S45" s="118"/>
      <c r="T45" s="118">
        <f>SUM(O75)</f>
        <v>0</v>
      </c>
      <c r="V45" s="31"/>
      <c r="W45" s="11" t="str">
        <f>CONCATENATE('入力(専門科目)'!B29)</f>
        <v>Civil Engineering English 2</v>
      </c>
      <c r="X45" s="11">
        <v>2</v>
      </c>
      <c r="Y45" s="11">
        <f>'入力(専門科目)'!C29</f>
        <v>0</v>
      </c>
      <c r="Z45" s="237">
        <f t="shared" si="12"/>
        <v>0</v>
      </c>
      <c r="AB45" s="11" t="str">
        <f>CONCATENATE('入力(理工系，国際ほか)'!B43)</f>
        <v>言語文化演習(英語)BⅠ</v>
      </c>
      <c r="AC45" s="7">
        <v>2</v>
      </c>
      <c r="AD45" s="7">
        <f>'入力(理工系，国際ほか)'!C43</f>
        <v>0</v>
      </c>
      <c r="AE45" s="7">
        <f t="shared" si="10"/>
        <v>0</v>
      </c>
    </row>
    <row r="46" spans="2:31" ht="13.5">
      <c r="B46" s="11">
        <f>CONCATENATE('入力(文系・総合)'!B48)</f>
      </c>
      <c r="C46" s="7">
        <v>2</v>
      </c>
      <c r="D46" s="7">
        <f>'入力(文系・総合)'!C48</f>
        <v>0</v>
      </c>
      <c r="E46" s="7">
        <f t="shared" si="0"/>
        <v>0</v>
      </c>
      <c r="G46" s="11" t="str">
        <f>CONCATENATE('入力(文系・総合)'!F47)</f>
        <v>社会学応用</v>
      </c>
      <c r="H46" s="7">
        <v>2</v>
      </c>
      <c r="I46" s="7">
        <f>'入力(文系・総合)'!G47</f>
        <v>0</v>
      </c>
      <c r="J46" s="7">
        <f aca="true" t="shared" si="15" ref="J46:J74">IF(I46&gt;59,1*H46,0)</f>
        <v>0</v>
      </c>
      <c r="L46" s="11" t="str">
        <f>CONCATENATE('入力(文系・総合)'!N10)</f>
        <v>現代科学・技術と安全性</v>
      </c>
      <c r="M46" s="7">
        <v>2</v>
      </c>
      <c r="N46" s="7">
        <f>'入力(文系・総合)'!O10</f>
        <v>0</v>
      </c>
      <c r="O46" s="7">
        <f t="shared" si="14"/>
        <v>0</v>
      </c>
      <c r="Q46" s="120" t="s">
        <v>393</v>
      </c>
      <c r="R46" s="120"/>
      <c r="S46" s="120"/>
      <c r="T46" s="120">
        <f>O38</f>
        <v>0</v>
      </c>
      <c r="V46" s="31" t="s">
        <v>101</v>
      </c>
      <c r="W46" s="11" t="str">
        <f>CONCATENATE('入力(専門科目)'!B30)</f>
        <v>コンクリート工学実験</v>
      </c>
      <c r="X46" s="11">
        <v>1</v>
      </c>
      <c r="Y46" s="11">
        <f>'入力(専門科目)'!C30</f>
        <v>0</v>
      </c>
      <c r="Z46" s="237">
        <f>IF(Y46&gt;59,1*X46,0)</f>
        <v>0</v>
      </c>
      <c r="AB46" s="11" t="str">
        <f>CONCATENATE('入力(理工系，国際ほか)'!B44)</f>
        <v>言語文化演習(英語)BⅡ</v>
      </c>
      <c r="AC46" s="7">
        <v>2</v>
      </c>
      <c r="AD46" s="7">
        <f>'入力(理工系，国際ほか)'!C44</f>
        <v>0</v>
      </c>
      <c r="AE46" s="7">
        <f t="shared" si="10"/>
        <v>0</v>
      </c>
    </row>
    <row r="47" spans="2:31" ht="13.5">
      <c r="B47" s="11">
        <f>CONCATENATE('入力(文系・総合)'!B49)</f>
      </c>
      <c r="C47" s="7">
        <v>2</v>
      </c>
      <c r="D47" s="7">
        <f>'入力(文系・総合)'!C49</f>
        <v>0</v>
      </c>
      <c r="E47" s="7">
        <f t="shared" si="0"/>
        <v>0</v>
      </c>
      <c r="G47" s="11" t="str">
        <f>CONCATENATE('入力(文系・総合)'!F48)</f>
        <v>宗教社会学</v>
      </c>
      <c r="H47" s="7">
        <v>2</v>
      </c>
      <c r="I47" s="7">
        <f>'入力(文系・総合)'!G48</f>
        <v>0</v>
      </c>
      <c r="J47" s="7">
        <f t="shared" si="15"/>
        <v>0</v>
      </c>
      <c r="L47" s="11" t="str">
        <f>CONCATENATE('入力(文系・総合)'!N11)</f>
        <v>環境計画と社会システム</v>
      </c>
      <c r="M47" s="7">
        <v>2</v>
      </c>
      <c r="N47" s="7">
        <f>'入力(文系・総合)'!O11</f>
        <v>0</v>
      </c>
      <c r="O47" s="7">
        <f t="shared" si="14"/>
        <v>0</v>
      </c>
      <c r="Q47" s="118" t="s">
        <v>239</v>
      </c>
      <c r="R47" s="118"/>
      <c r="S47" s="118"/>
      <c r="T47" s="118">
        <f>SUM(T44:T46)</f>
        <v>0</v>
      </c>
      <c r="V47" s="31" t="s">
        <v>101</v>
      </c>
      <c r="W47" s="11" t="str">
        <f>CONCATENATE('入力(専門科目)'!B31)</f>
        <v>地盤工学実験</v>
      </c>
      <c r="X47" s="11">
        <v>1</v>
      </c>
      <c r="Y47" s="11">
        <f>'入力(専門科目)'!C31</f>
        <v>0</v>
      </c>
      <c r="Z47" s="237">
        <f aca="true" t="shared" si="16" ref="Z47:Z52">IF(Y47&gt;59,1*X47,0)</f>
        <v>0</v>
      </c>
      <c r="AB47" s="11" t="str">
        <f>CONCATENATE('入力(理工系，国際ほか)'!B45)</f>
        <v>ドイツ語応用I</v>
      </c>
      <c r="AC47" s="7">
        <v>2</v>
      </c>
      <c r="AD47" s="7">
        <f>'入力(理工系，国際ほか)'!C45</f>
        <v>0</v>
      </c>
      <c r="AE47" s="7">
        <f t="shared" si="10"/>
        <v>0</v>
      </c>
    </row>
    <row r="48" spans="2:31" ht="13.5">
      <c r="B48" s="11">
        <f>CONCATENATE('入力(文系・総合)'!B50)</f>
      </c>
      <c r="C48" s="7">
        <v>2</v>
      </c>
      <c r="D48" s="7">
        <f>'入力(文系・総合)'!C50</f>
        <v>0</v>
      </c>
      <c r="E48" s="7">
        <f t="shared" si="0"/>
        <v>0</v>
      </c>
      <c r="G48" s="11" t="str">
        <f>CONCATENATE('入力(文系・総合)'!F49)</f>
        <v>理論社会学</v>
      </c>
      <c r="H48" s="7">
        <v>2</v>
      </c>
      <c r="I48" s="7">
        <f>'入力(文系・総合)'!G49</f>
        <v>0</v>
      </c>
      <c r="J48" s="7">
        <f t="shared" si="15"/>
        <v>0</v>
      </c>
      <c r="L48" s="11" t="str">
        <f>CONCATENATE('入力(文系・総合)'!N12)</f>
        <v>中国短期留学第一</v>
      </c>
      <c r="M48" s="7">
        <v>2</v>
      </c>
      <c r="N48" s="7">
        <f>'入力(文系・総合)'!O12</f>
        <v>0</v>
      </c>
      <c r="O48" s="7">
        <f t="shared" si="14"/>
        <v>0</v>
      </c>
      <c r="Q48" s="118"/>
      <c r="R48" s="118"/>
      <c r="S48" s="118"/>
      <c r="T48" s="118"/>
      <c r="V48" s="31"/>
      <c r="W48" s="11">
        <f>CONCATENATE('入力(専門科目)'!B32)</f>
      </c>
      <c r="X48" s="11"/>
      <c r="Y48" s="11">
        <f>'入力(専門科目)'!C32</f>
        <v>0</v>
      </c>
      <c r="Z48" s="237">
        <f t="shared" si="16"/>
        <v>0</v>
      </c>
      <c r="AB48" s="11" t="str">
        <f>CONCATENATE('入力(理工系，国際ほか)'!B46)</f>
        <v>ドイツ語応用II</v>
      </c>
      <c r="AC48" s="7">
        <v>2</v>
      </c>
      <c r="AD48" s="7">
        <f>'入力(理工系，国際ほか)'!C46</f>
        <v>0</v>
      </c>
      <c r="AE48" s="7">
        <f t="shared" si="10"/>
        <v>0</v>
      </c>
    </row>
    <row r="49" spans="7:31" ht="13.5">
      <c r="G49" s="11" t="str">
        <f>CONCATENATE('入力(文系・総合)'!F50)</f>
        <v>社会学概論</v>
      </c>
      <c r="H49" s="7">
        <v>2</v>
      </c>
      <c r="I49" s="7">
        <f>'入力(文系・総合)'!G50</f>
        <v>0</v>
      </c>
      <c r="J49" s="7">
        <f t="shared" si="15"/>
        <v>0</v>
      </c>
      <c r="L49" s="11" t="str">
        <f>CONCATENATE('入力(文系・総合)'!N13)</f>
        <v>キーワードはO R</v>
      </c>
      <c r="M49" s="7">
        <v>2</v>
      </c>
      <c r="N49" s="7">
        <f>'入力(文系・総合)'!O13</f>
        <v>0</v>
      </c>
      <c r="O49" s="7">
        <f t="shared" si="14"/>
        <v>0</v>
      </c>
      <c r="Q49" s="118" t="s">
        <v>418</v>
      </c>
      <c r="R49" s="118"/>
      <c r="S49" s="118"/>
      <c r="T49" s="118">
        <f>AE12</f>
        <v>0</v>
      </c>
      <c r="V49" s="31"/>
      <c r="W49" s="11">
        <f>CONCATENATE('入力(専門科目)'!B33)</f>
      </c>
      <c r="X49" s="11"/>
      <c r="Y49" s="11">
        <f>'入力(専門科目)'!C33</f>
        <v>0</v>
      </c>
      <c r="Z49" s="237">
        <f t="shared" si="16"/>
        <v>0</v>
      </c>
      <c r="AB49" s="11" t="str">
        <f>CONCATENATE('入力(理工系，国際ほか)'!B47)</f>
        <v>ドイツ語ｾﾐﾅｰA1</v>
      </c>
      <c r="AC49" s="7">
        <v>2</v>
      </c>
      <c r="AD49" s="7">
        <f>'入力(理工系，国際ほか)'!C47</f>
        <v>0</v>
      </c>
      <c r="AE49" s="7">
        <f t="shared" si="10"/>
        <v>0</v>
      </c>
    </row>
    <row r="50" spans="2:31" ht="13.5">
      <c r="B50" s="7" t="s">
        <v>167</v>
      </c>
      <c r="E50" s="7">
        <f>SUM(E4:E48)</f>
        <v>0</v>
      </c>
      <c r="G50" s="11" t="str">
        <f>CONCATENATE('入力(文系・総合)'!F51)</f>
        <v>医療社会学</v>
      </c>
      <c r="H50" s="7">
        <v>2</v>
      </c>
      <c r="I50" s="7">
        <f>'入力(文系・総合)'!G51</f>
        <v>0</v>
      </c>
      <c r="J50" s="7">
        <f t="shared" si="15"/>
        <v>0</v>
      </c>
      <c r="L50" s="11" t="str">
        <f>CONCATENATE('入力(文系・総合)'!N14)</f>
        <v>生命の科学と社会</v>
      </c>
      <c r="M50" s="7">
        <v>2</v>
      </c>
      <c r="N50" s="7">
        <f>'入力(文系・総合)'!O14</f>
        <v>0</v>
      </c>
      <c r="O50" s="7">
        <f t="shared" si="14"/>
        <v>0</v>
      </c>
      <c r="Q50" s="118" t="s">
        <v>419</v>
      </c>
      <c r="R50" s="118"/>
      <c r="S50" s="118"/>
      <c r="T50" s="118">
        <f>AF27</f>
        <v>0</v>
      </c>
      <c r="V50" s="31"/>
      <c r="W50" s="11">
        <f>CONCATENATE('入力(専門科目)'!B34)</f>
      </c>
      <c r="X50" s="11"/>
      <c r="Y50" s="11">
        <f>'入力(専門科目)'!C34</f>
        <v>0</v>
      </c>
      <c r="Z50" s="237">
        <f t="shared" si="16"/>
        <v>0</v>
      </c>
      <c r="AB50" s="11" t="str">
        <f>CONCATENATE('入力(理工系，国際ほか)'!B48)</f>
        <v>ドイツ語ｾﾐﾅｰA2</v>
      </c>
      <c r="AC50" s="7">
        <v>2</v>
      </c>
      <c r="AD50" s="7">
        <f>'入力(理工系，国際ほか)'!C48</f>
        <v>0</v>
      </c>
      <c r="AE50" s="7">
        <f t="shared" si="10"/>
        <v>0</v>
      </c>
    </row>
    <row r="51" spans="7:31" ht="13.5">
      <c r="G51" s="11" t="str">
        <f>CONCATENATE('入力(文系・総合)'!F52)</f>
        <v>数理社会学 第一</v>
      </c>
      <c r="H51" s="7">
        <v>2</v>
      </c>
      <c r="I51" s="7">
        <f>'入力(文系・総合)'!G52</f>
        <v>0</v>
      </c>
      <c r="J51" s="7">
        <f t="shared" si="15"/>
        <v>0</v>
      </c>
      <c r="L51" s="11" t="str">
        <f>CONCATENATE('入力(文系・総合)'!N15)</f>
        <v>電気技術史と技術開発</v>
      </c>
      <c r="M51" s="7">
        <v>2</v>
      </c>
      <c r="N51" s="7">
        <f>'入力(文系・総合)'!O15</f>
        <v>0</v>
      </c>
      <c r="O51" s="7">
        <f t="shared" si="14"/>
        <v>0</v>
      </c>
      <c r="Q51" s="118" t="s">
        <v>122</v>
      </c>
      <c r="R51" s="118"/>
      <c r="S51" s="118"/>
      <c r="T51" s="118">
        <f>AE71</f>
        <v>0</v>
      </c>
      <c r="V51" s="31"/>
      <c r="W51" s="11">
        <f>CONCATENATE('入力(専門科目)'!B35)</f>
      </c>
      <c r="X51" s="11"/>
      <c r="Y51" s="11">
        <f>'入力(専門科目)'!C35</f>
        <v>0</v>
      </c>
      <c r="Z51" s="237">
        <f t="shared" si="16"/>
        <v>0</v>
      </c>
      <c r="AB51" s="11" t="str">
        <f>CONCATENATE('入力(理工系，国際ほか)'!B49)</f>
        <v>ドイツ語ｾﾐﾅｰB1</v>
      </c>
      <c r="AC51" s="7">
        <v>2</v>
      </c>
      <c r="AD51" s="7">
        <f>'入力(理工系，国際ほか)'!C49</f>
        <v>0</v>
      </c>
      <c r="AE51" s="7">
        <f t="shared" si="10"/>
        <v>0</v>
      </c>
    </row>
    <row r="52" spans="7:31" ht="13.5">
      <c r="G52" s="11" t="str">
        <f>CONCATENATE('入力(文系・総合)'!F53)</f>
        <v>数理社会学 第二</v>
      </c>
      <c r="H52" s="7">
        <v>2</v>
      </c>
      <c r="I52" s="7">
        <f>'入力(文系・総合)'!G53</f>
        <v>0</v>
      </c>
      <c r="J52" s="7">
        <f t="shared" si="15"/>
        <v>0</v>
      </c>
      <c r="L52" s="11" t="str">
        <f>CONCATENATE('入力(文系・総合)'!N16)</f>
        <v>原子核とエネルギー</v>
      </c>
      <c r="M52" s="7">
        <v>2</v>
      </c>
      <c r="N52" s="7">
        <f>'入力(文系・総合)'!O16</f>
        <v>0</v>
      </c>
      <c r="O52" s="7">
        <f t="shared" si="14"/>
        <v>0</v>
      </c>
      <c r="Q52" s="121" t="s">
        <v>464</v>
      </c>
      <c r="R52" s="121"/>
      <c r="S52" s="121"/>
      <c r="T52" s="121">
        <f>MIN(14,SUM(T49:T50))+T51</f>
        <v>0</v>
      </c>
      <c r="V52" s="32"/>
      <c r="W52" s="12">
        <f>CONCATENATE('入力(専門科目)'!B36)</f>
      </c>
      <c r="X52" s="12"/>
      <c r="Y52" s="12">
        <f>'入力(専門科目)'!C36</f>
        <v>0</v>
      </c>
      <c r="Z52" s="238">
        <f t="shared" si="16"/>
        <v>0</v>
      </c>
      <c r="AB52" s="11" t="str">
        <f>CONCATENATE('入力(理工系，国際ほか)'!B50)</f>
        <v>ドイツ語ｾﾐﾅｰB2</v>
      </c>
      <c r="AC52" s="7">
        <v>2</v>
      </c>
      <c r="AD52" s="7">
        <f>'入力(理工系，国際ほか)'!C50</f>
        <v>0</v>
      </c>
      <c r="AE52" s="7">
        <f t="shared" si="10"/>
        <v>0</v>
      </c>
    </row>
    <row r="53" spans="7:31" ht="13.5">
      <c r="G53" s="11" t="str">
        <f>CONCATENATE('入力(文系・総合)'!F54)</f>
        <v>科学概論 第一</v>
      </c>
      <c r="H53" s="7">
        <v>2</v>
      </c>
      <c r="I53" s="7">
        <f>'入力(文系・総合)'!G54</f>
        <v>0</v>
      </c>
      <c r="J53" s="7">
        <f t="shared" si="15"/>
        <v>0</v>
      </c>
      <c r="L53" s="11" t="str">
        <f>CONCATENATE('入力(文系・総合)'!N17)</f>
        <v>物理と論理</v>
      </c>
      <c r="M53" s="7">
        <v>2</v>
      </c>
      <c r="N53" s="7">
        <f>'入力(文系・総合)'!O17</f>
        <v>0</v>
      </c>
      <c r="O53" s="7">
        <f t="shared" si="14"/>
        <v>0</v>
      </c>
      <c r="Q53" s="119" t="s">
        <v>417</v>
      </c>
      <c r="R53" s="119"/>
      <c r="S53" s="119"/>
      <c r="T53" s="119">
        <f>AE13</f>
        <v>0</v>
      </c>
      <c r="AB53" s="11" t="str">
        <f>CONCATENATE('入力(理工系，国際ほか)'!B51)</f>
        <v>ﾌﾗﾝｽ語応用I</v>
      </c>
      <c r="AC53" s="7">
        <v>2</v>
      </c>
      <c r="AD53" s="7">
        <f>'入力(理工系，国際ほか)'!C51</f>
        <v>0</v>
      </c>
      <c r="AE53" s="7">
        <f t="shared" si="10"/>
        <v>0</v>
      </c>
    </row>
    <row r="54" spans="7:31" ht="13.5">
      <c r="G54" s="11" t="str">
        <f>CONCATENATE('入力(文系・総合)'!F55)</f>
        <v>科学概論 第二</v>
      </c>
      <c r="H54" s="7">
        <v>2</v>
      </c>
      <c r="I54" s="7">
        <f>'入力(文系・総合)'!G55</f>
        <v>0</v>
      </c>
      <c r="J54" s="7">
        <f t="shared" si="15"/>
        <v>0</v>
      </c>
      <c r="L54" s="11" t="str">
        <f>CONCATENATE('入力(文系・総合)'!N18)</f>
        <v>先端科学技術と知的財産権</v>
      </c>
      <c r="M54" s="7">
        <v>2</v>
      </c>
      <c r="N54" s="7">
        <f>'入力(文系・総合)'!O18</f>
        <v>0</v>
      </c>
      <c r="O54" s="7">
        <f t="shared" si="14"/>
        <v>0</v>
      </c>
      <c r="Q54" s="118"/>
      <c r="R54" s="118"/>
      <c r="S54" s="118"/>
      <c r="T54" s="118"/>
      <c r="V54" s="30" t="s">
        <v>101</v>
      </c>
      <c r="W54" s="10" t="str">
        <f>CONCATENATE('入力(専門科目)'!F18)</f>
        <v>土木史・土木技術者倫理</v>
      </c>
      <c r="X54" s="10">
        <v>2</v>
      </c>
      <c r="Y54" s="10">
        <f>'入力(専門科目)'!G18</f>
        <v>0</v>
      </c>
      <c r="Z54" s="236">
        <f>IF(Y54&gt;59,1*X54,0)</f>
        <v>0</v>
      </c>
      <c r="AB54" s="11" t="str">
        <f>CONCATENATE('入力(理工系，国際ほか)'!B52)</f>
        <v>ﾌﾗﾝｽ語応用II</v>
      </c>
      <c r="AC54" s="7">
        <v>2</v>
      </c>
      <c r="AD54" s="7">
        <f>'入力(理工系，国際ほか)'!C52</f>
        <v>0</v>
      </c>
      <c r="AE54" s="7">
        <f t="shared" si="10"/>
        <v>0</v>
      </c>
    </row>
    <row r="55" spans="7:31" ht="13.5">
      <c r="G55" s="11" t="str">
        <f>CONCATENATE('入力(文系・総合)'!F56)</f>
        <v>現代技術史</v>
      </c>
      <c r="H55" s="7">
        <v>2</v>
      </c>
      <c r="I55" s="7">
        <f>'入力(文系・総合)'!G56</f>
        <v>0</v>
      </c>
      <c r="J55" s="7">
        <f t="shared" si="15"/>
        <v>0</v>
      </c>
      <c r="L55" s="11" t="str">
        <f>CONCATENATE('入力(文系・総合)'!N19)</f>
        <v>システムとしての社会</v>
      </c>
      <c r="M55" s="7">
        <v>2</v>
      </c>
      <c r="N55" s="7">
        <f>'入力(文系・総合)'!O19</f>
        <v>0</v>
      </c>
      <c r="O55" s="7">
        <f t="shared" si="14"/>
        <v>0</v>
      </c>
      <c r="Q55" s="118" t="s">
        <v>240</v>
      </c>
      <c r="R55" s="118"/>
      <c r="S55" s="118"/>
      <c r="T55" s="118">
        <f>MIN(16,T35)</f>
        <v>0</v>
      </c>
      <c r="V55" s="31"/>
      <c r="W55" s="11" t="str">
        <f>CONCATENATE('入力(専門科目)'!F19)</f>
        <v>地震工学</v>
      </c>
      <c r="X55" s="11">
        <v>2</v>
      </c>
      <c r="Y55" s="11">
        <f>'入力(専門科目)'!G19</f>
        <v>0</v>
      </c>
      <c r="Z55" s="237">
        <f aca="true" t="shared" si="17" ref="Z55:Z70">IF(Y55&gt;59,1*X55,0)</f>
        <v>0</v>
      </c>
      <c r="AB55" s="11" t="str">
        <f>CONCATENATE('入力(理工系，国際ほか)'!B53)</f>
        <v>ﾌﾗﾝｽ語ｾﾐﾅｰA1</v>
      </c>
      <c r="AC55" s="7">
        <v>2</v>
      </c>
      <c r="AD55" s="7">
        <f>'入力(理工系，国際ほか)'!C53</f>
        <v>0</v>
      </c>
      <c r="AE55" s="7">
        <f t="shared" si="10"/>
        <v>0</v>
      </c>
    </row>
    <row r="56" spans="7:31" ht="13.5">
      <c r="G56" s="11" t="str">
        <f>CONCATENATE('入力(文系・総合)'!F57)</f>
        <v>技術史 第一</v>
      </c>
      <c r="H56" s="7">
        <v>2</v>
      </c>
      <c r="I56" s="7">
        <f>'入力(文系・総合)'!G57</f>
        <v>0</v>
      </c>
      <c r="J56" s="7">
        <f t="shared" si="15"/>
        <v>0</v>
      </c>
      <c r="L56" s="11" t="str">
        <f>CONCATENATE('入力(文系・総合)'!N20)</f>
        <v>中国短期留学第二</v>
      </c>
      <c r="M56" s="7">
        <v>2</v>
      </c>
      <c r="N56" s="7">
        <f>'入力(文系・総合)'!O20</f>
        <v>0</v>
      </c>
      <c r="O56" s="7">
        <f t="shared" si="14"/>
        <v>0</v>
      </c>
      <c r="Q56" s="118"/>
      <c r="R56" s="118"/>
      <c r="S56" s="118"/>
      <c r="T56" s="118"/>
      <c r="V56" s="31"/>
      <c r="W56" s="11" t="str">
        <f>CONCATENATE('入力(専門科目)'!F20)</f>
        <v>水文・河川工学</v>
      </c>
      <c r="X56" s="11">
        <v>2</v>
      </c>
      <c r="Y56" s="11">
        <f>'入力(専門科目)'!G20</f>
        <v>0</v>
      </c>
      <c r="Z56" s="237">
        <f t="shared" si="17"/>
        <v>0</v>
      </c>
      <c r="AB56" s="11" t="str">
        <f>CONCATENATE('入力(理工系，国際ほか)'!B54)</f>
        <v>ﾌﾗﾝｽ語ｾﾐﾅｰA2</v>
      </c>
      <c r="AC56" s="7">
        <v>2</v>
      </c>
      <c r="AD56" s="7">
        <f>'入力(理工系，国際ほか)'!C54</f>
        <v>0</v>
      </c>
      <c r="AE56" s="7">
        <f t="shared" si="10"/>
        <v>0</v>
      </c>
    </row>
    <row r="57" spans="7:31" ht="13.5">
      <c r="G57" s="11" t="str">
        <f>CONCATENATE('入力(文系・総合)'!F58)</f>
        <v>技術史 第二</v>
      </c>
      <c r="H57" s="7">
        <v>2</v>
      </c>
      <c r="I57" s="7">
        <f>'入力(文系・総合)'!G58</f>
        <v>0</v>
      </c>
      <c r="J57" s="7">
        <f t="shared" si="15"/>
        <v>0</v>
      </c>
      <c r="L57" s="11">
        <f>CONCATENATE('入力(文系・総合)'!N21)</f>
      </c>
      <c r="M57" s="7">
        <v>2</v>
      </c>
      <c r="N57" s="7">
        <f>'入力(文系・総合)'!O21</f>
        <v>0</v>
      </c>
      <c r="O57" s="7">
        <f t="shared" si="14"/>
        <v>0</v>
      </c>
      <c r="Q57" s="118" t="s">
        <v>246</v>
      </c>
      <c r="R57" s="118"/>
      <c r="S57" s="118"/>
      <c r="T57" s="118">
        <f>AK7</f>
        <v>0</v>
      </c>
      <c r="V57" s="31" t="s">
        <v>278</v>
      </c>
      <c r="W57" s="11" t="str">
        <f>CONCATENATE('入力(専門科目)'!F21)</f>
        <v>応用数値解析・演習</v>
      </c>
      <c r="X57" s="11">
        <v>2</v>
      </c>
      <c r="Y57" s="11">
        <f>'入力(専門科目)'!G21</f>
        <v>0</v>
      </c>
      <c r="Z57" s="237">
        <f t="shared" si="17"/>
        <v>0</v>
      </c>
      <c r="AB57" s="11" t="str">
        <f>CONCATENATE('入力(理工系，国際ほか)'!B55)</f>
        <v>ﾌﾗﾝｽ語ｾﾐﾅｰB1</v>
      </c>
      <c r="AC57" s="7">
        <v>2</v>
      </c>
      <c r="AD57" s="7">
        <f>'入力(理工系，国際ほか)'!C55</f>
        <v>0</v>
      </c>
      <c r="AE57" s="7">
        <f t="shared" si="10"/>
        <v>0</v>
      </c>
    </row>
    <row r="58" spans="7:31" ht="13.5">
      <c r="G58" s="11" t="str">
        <f>CONCATENATE('入力(文系・総合)'!F59)</f>
        <v>日本技術史</v>
      </c>
      <c r="H58" s="7">
        <v>2</v>
      </c>
      <c r="I58" s="7">
        <f>'入力(文系・総合)'!G59</f>
        <v>0</v>
      </c>
      <c r="J58" s="7">
        <f t="shared" si="15"/>
        <v>0</v>
      </c>
      <c r="L58" s="11">
        <f>CONCATENATE('入力(文系・総合)'!N22)</f>
      </c>
      <c r="M58" s="7">
        <v>2</v>
      </c>
      <c r="N58" s="7">
        <f>'入力(文系・総合)'!O22</f>
        <v>0</v>
      </c>
      <c r="O58" s="7">
        <f t="shared" si="14"/>
        <v>0</v>
      </c>
      <c r="Q58" s="118" t="s">
        <v>247</v>
      </c>
      <c r="R58" s="118"/>
      <c r="S58" s="118"/>
      <c r="T58" s="118">
        <f>AK15</f>
        <v>0</v>
      </c>
      <c r="V58" s="31"/>
      <c r="W58" s="11" t="str">
        <f>CONCATENATE('入力(専門科目)'!F22)</f>
        <v>環境アセスメント論</v>
      </c>
      <c r="X58" s="11">
        <v>2</v>
      </c>
      <c r="Y58" s="11">
        <f>'入力(専門科目)'!G22</f>
        <v>0</v>
      </c>
      <c r="Z58" s="237">
        <f t="shared" si="17"/>
        <v>0</v>
      </c>
      <c r="AB58" s="11" t="str">
        <f>CONCATENATE('入力(理工系，国際ほか)'!B56)</f>
        <v>ﾌﾗﾝｽ語ｾﾐﾅｰB2</v>
      </c>
      <c r="AC58" s="7">
        <v>2</v>
      </c>
      <c r="AD58" s="7">
        <f>'入力(理工系，国際ほか)'!C56</f>
        <v>0</v>
      </c>
      <c r="AE58" s="7">
        <f t="shared" si="10"/>
        <v>0</v>
      </c>
    </row>
    <row r="59" spans="7:31" ht="13.5">
      <c r="G59" s="11" t="str">
        <f>CONCATENATE('入力(文系・総合)'!F60)</f>
        <v>科学方法論</v>
      </c>
      <c r="H59" s="7">
        <v>2</v>
      </c>
      <c r="I59" s="7">
        <f>'入力(文系・総合)'!G60</f>
        <v>0</v>
      </c>
      <c r="J59" s="7">
        <f t="shared" si="15"/>
        <v>0</v>
      </c>
      <c r="L59" s="11">
        <f>CONCATENATE('入力(文系・総合)'!N23)</f>
      </c>
      <c r="M59" s="7">
        <v>2</v>
      </c>
      <c r="N59" s="7">
        <f>'入力(文系・総合)'!O23</f>
        <v>0</v>
      </c>
      <c r="O59" s="7">
        <f t="shared" si="14"/>
        <v>0</v>
      </c>
      <c r="Q59" s="121" t="s">
        <v>241</v>
      </c>
      <c r="R59" s="121"/>
      <c r="S59" s="121"/>
      <c r="T59" s="121">
        <f>MIN(5,T57+T58)</f>
        <v>0</v>
      </c>
      <c r="V59" s="31"/>
      <c r="W59" s="11" t="str">
        <f>CONCATENATE('入力(専門科目)'!F23)</f>
        <v>地盤調査・施工学</v>
      </c>
      <c r="X59" s="11">
        <v>3</v>
      </c>
      <c r="Y59" s="11">
        <f>'入力(専門科目)'!G23</f>
        <v>0</v>
      </c>
      <c r="Z59" s="237">
        <f t="shared" si="17"/>
        <v>0</v>
      </c>
      <c r="AB59" s="11" t="str">
        <f>CONCATENATE('入力(理工系，国際ほか)'!B57)</f>
        <v>ﾛｼｱ語応用I</v>
      </c>
      <c r="AC59" s="7">
        <v>2</v>
      </c>
      <c r="AD59" s="7">
        <f>'入力(理工系，国際ほか)'!C57</f>
        <v>0</v>
      </c>
      <c r="AE59" s="7">
        <f t="shared" si="10"/>
        <v>0</v>
      </c>
    </row>
    <row r="60" spans="7:31" ht="13.5">
      <c r="G60" s="11" t="str">
        <f>CONCATENATE('入力(文系・総合)'!F61)</f>
        <v>科学史 第一</v>
      </c>
      <c r="H60" s="7">
        <v>2</v>
      </c>
      <c r="I60" s="7">
        <f>'入力(文系・総合)'!G61</f>
        <v>0</v>
      </c>
      <c r="J60" s="7">
        <f t="shared" si="15"/>
        <v>0</v>
      </c>
      <c r="L60" s="11">
        <f>CONCATENATE('入力(文系・総合)'!N24)</f>
      </c>
      <c r="M60" s="7">
        <v>2</v>
      </c>
      <c r="N60" s="7">
        <f>'入力(文系・総合)'!O24</f>
        <v>0</v>
      </c>
      <c r="O60" s="7">
        <f t="shared" si="14"/>
        <v>0</v>
      </c>
      <c r="Q60" s="118"/>
      <c r="R60" s="118"/>
      <c r="S60" s="118"/>
      <c r="T60" s="118"/>
      <c r="V60" s="31"/>
      <c r="W60" s="11">
        <f>CONCATENATE('入力(専門科目)'!F24)</f>
      </c>
      <c r="X60" s="11"/>
      <c r="Y60" s="11">
        <f>'入力(専門科目)'!G24</f>
        <v>0</v>
      </c>
      <c r="Z60" s="237">
        <f t="shared" si="17"/>
        <v>0</v>
      </c>
      <c r="AB60" s="11" t="str">
        <f>CONCATENATE('入力(理工系，国際ほか)'!B58)</f>
        <v>ﾛｼｱ語応用II</v>
      </c>
      <c r="AC60" s="7">
        <v>2</v>
      </c>
      <c r="AD60" s="7">
        <f>'入力(理工系，国際ほか)'!C58</f>
        <v>0</v>
      </c>
      <c r="AE60" s="7">
        <f t="shared" si="10"/>
        <v>0</v>
      </c>
    </row>
    <row r="61" spans="7:31" ht="13.5">
      <c r="G61" s="11" t="str">
        <f>CONCATENATE('入力(文系・総合)'!F62)</f>
        <v>科学史 第二</v>
      </c>
      <c r="H61" s="7">
        <v>2</v>
      </c>
      <c r="I61" s="7">
        <f>'入力(文系・総合)'!G62</f>
        <v>0</v>
      </c>
      <c r="J61" s="7">
        <f t="shared" si="15"/>
        <v>0</v>
      </c>
      <c r="L61" s="11">
        <f>CONCATENATE('入力(文系・総合)'!N25)</f>
      </c>
      <c r="M61" s="7">
        <v>2</v>
      </c>
      <c r="N61" s="7">
        <f>'入力(文系・総合)'!O25</f>
        <v>0</v>
      </c>
      <c r="O61" s="7">
        <f t="shared" si="14"/>
        <v>0</v>
      </c>
      <c r="Q61" s="118" t="s">
        <v>242</v>
      </c>
      <c r="R61" s="118"/>
      <c r="S61" s="118"/>
      <c r="T61" s="118">
        <f>AK20+AK23</f>
        <v>0</v>
      </c>
      <c r="V61" s="31"/>
      <c r="W61" s="11" t="str">
        <f>CONCATENATE('入力(専門科目)'!F25)</f>
        <v>都市計画学</v>
      </c>
      <c r="X61" s="11">
        <v>2</v>
      </c>
      <c r="Y61" s="11">
        <f>'入力(専門科目)'!G25</f>
        <v>0</v>
      </c>
      <c r="Z61" s="237">
        <f t="shared" si="17"/>
        <v>0</v>
      </c>
      <c r="AB61" s="11" t="str">
        <f>CONCATENATE('入力(理工系，国際ほか)'!B59)</f>
        <v>ﾛｼｱ語ｾﾐﾅｰA1</v>
      </c>
      <c r="AC61" s="7">
        <v>2</v>
      </c>
      <c r="AD61" s="7">
        <f>'入力(理工系，国際ほか)'!C59</f>
        <v>0</v>
      </c>
      <c r="AE61" s="7">
        <f t="shared" si="10"/>
        <v>0</v>
      </c>
    </row>
    <row r="62" spans="7:31" ht="13.5">
      <c r="G62" s="11" t="str">
        <f>CONCATENATE('入力(文系・総合)'!F63)</f>
        <v>科学技術と政策第一</v>
      </c>
      <c r="H62" s="7">
        <v>2</v>
      </c>
      <c r="I62" s="7">
        <f>'入力(文系・総合)'!G63</f>
        <v>0</v>
      </c>
      <c r="J62" s="7">
        <f t="shared" si="15"/>
        <v>0</v>
      </c>
      <c r="L62" s="11">
        <f>CONCATENATE('入力(文系・総合)'!N26)</f>
      </c>
      <c r="M62" s="7">
        <v>2</v>
      </c>
      <c r="N62" s="7">
        <f>'入力(文系・総合)'!O26</f>
        <v>0</v>
      </c>
      <c r="O62" s="7">
        <f t="shared" si="14"/>
        <v>0</v>
      </c>
      <c r="V62" s="31"/>
      <c r="W62" s="11" t="str">
        <f>CONCATENATE('入力(専門科目)'!F26)</f>
        <v>海岸・海洋工学</v>
      </c>
      <c r="X62" s="11">
        <v>2</v>
      </c>
      <c r="Y62" s="11">
        <f>'入力(専門科目)'!G26</f>
        <v>0</v>
      </c>
      <c r="Z62" s="237">
        <f t="shared" si="17"/>
        <v>0</v>
      </c>
      <c r="AB62" s="11" t="str">
        <f>CONCATENATE('入力(理工系，国際ほか)'!B60)</f>
        <v>ﾛｼｱ語ｾﾐﾅｰA2</v>
      </c>
      <c r="AC62" s="7">
        <v>2</v>
      </c>
      <c r="AD62" s="7">
        <f>'入力(理工系，国際ほか)'!C60</f>
        <v>0</v>
      </c>
      <c r="AE62" s="7">
        <f t="shared" si="10"/>
        <v>0</v>
      </c>
    </row>
    <row r="63" spans="7:31" ht="13.5">
      <c r="G63" s="11" t="str">
        <f>CONCATENATE('入力(文系・総合)'!F64)</f>
        <v>科学技術と政策第二</v>
      </c>
      <c r="H63" s="7">
        <v>2</v>
      </c>
      <c r="I63" s="7">
        <f>'入力(文系・総合)'!G64</f>
        <v>0</v>
      </c>
      <c r="J63" s="7">
        <f t="shared" si="15"/>
        <v>0</v>
      </c>
      <c r="L63" s="11">
        <f>CONCATENATE('入力(文系・総合)'!N27)</f>
      </c>
      <c r="M63" s="7">
        <v>2</v>
      </c>
      <c r="N63" s="7">
        <f>'入力(文系・総合)'!O27</f>
        <v>0</v>
      </c>
      <c r="O63" s="7">
        <f t="shared" si="14"/>
        <v>0</v>
      </c>
      <c r="V63" s="31"/>
      <c r="W63" s="11">
        <f>CONCATENATE('入力(専門科目)'!F27)</f>
      </c>
      <c r="X63" s="11"/>
      <c r="Y63" s="11">
        <f>'入力(専門科目)'!G27</f>
        <v>0</v>
      </c>
      <c r="Z63" s="237">
        <f t="shared" si="17"/>
        <v>0</v>
      </c>
      <c r="AB63" s="11" t="str">
        <f>CONCATENATE('入力(理工系，国際ほか)'!B61)</f>
        <v>ﾛｼｱ語ｾﾐﾅｰB1</v>
      </c>
      <c r="AC63" s="7">
        <v>2</v>
      </c>
      <c r="AD63" s="7">
        <f>'入力(理工系，国際ほか)'!C61</f>
        <v>0</v>
      </c>
      <c r="AE63" s="7">
        <f t="shared" si="10"/>
        <v>0</v>
      </c>
    </row>
    <row r="64" spans="7:31" ht="14.25" thickBot="1">
      <c r="G64" s="11" t="str">
        <f>CONCATENATE('入力(文系・総合)'!F65)</f>
        <v>科学の社会史</v>
      </c>
      <c r="H64" s="7">
        <v>2</v>
      </c>
      <c r="I64" s="7">
        <f>'入力(文系・総合)'!G65</f>
        <v>0</v>
      </c>
      <c r="J64" s="7">
        <f t="shared" si="15"/>
        <v>0</v>
      </c>
      <c r="L64" s="11">
        <f>CONCATENATE('入力(文系・総合)'!N29)</f>
      </c>
      <c r="M64" s="7">
        <v>2</v>
      </c>
      <c r="N64" s="7">
        <f>'入力(文系・総合)'!O29</f>
        <v>0</v>
      </c>
      <c r="O64" s="7">
        <f t="shared" si="14"/>
        <v>0</v>
      </c>
      <c r="V64" s="31"/>
      <c r="W64" s="11">
        <f>CONCATENATE('入力(専門科目)'!F28)</f>
      </c>
      <c r="X64" s="11"/>
      <c r="Y64" s="11">
        <f>'入力(専門科目)'!G28</f>
        <v>0</v>
      </c>
      <c r="Z64" s="237">
        <f t="shared" si="17"/>
        <v>0</v>
      </c>
      <c r="AB64" s="11" t="str">
        <f>CONCATENATE('入力(理工系，国際ほか)'!B62)</f>
        <v>ﾛｼｱ語ｾﾐﾅｰB2</v>
      </c>
      <c r="AC64" s="7">
        <v>2</v>
      </c>
      <c r="AD64" s="7">
        <f>'入力(理工系，国際ほか)'!C62</f>
        <v>0</v>
      </c>
      <c r="AE64" s="7">
        <f t="shared" si="10"/>
        <v>0</v>
      </c>
    </row>
    <row r="65" spans="7:31" ht="14.25" thickBot="1">
      <c r="G65" s="11" t="str">
        <f>CONCATENATE('入力(文系・総合)'!F66)</f>
        <v>日本科学史</v>
      </c>
      <c r="H65" s="7">
        <v>2</v>
      </c>
      <c r="I65" s="7">
        <f>'入力(文系・総合)'!G66</f>
        <v>0</v>
      </c>
      <c r="J65" s="7">
        <f t="shared" si="15"/>
        <v>0</v>
      </c>
      <c r="L65" s="11">
        <f>CONCATENATE('入力(文系・総合)'!N30)</f>
      </c>
      <c r="M65" s="7">
        <v>2</v>
      </c>
      <c r="N65" s="7">
        <f>'入力(文系・総合)'!O30</f>
        <v>0</v>
      </c>
      <c r="O65" s="7">
        <f aca="true" t="shared" si="18" ref="O65:O73">IF(N65&gt;59,1*M65,0)</f>
        <v>0</v>
      </c>
      <c r="Q65" s="33" t="s">
        <v>106</v>
      </c>
      <c r="R65" s="34"/>
      <c r="S65" s="34"/>
      <c r="T65" s="35">
        <f>SUM(T47,T55,Z99,,T59,T52,T61)</f>
        <v>0</v>
      </c>
      <c r="V65" s="31"/>
      <c r="W65" s="11">
        <f>CONCATENATE('入力(専門科目)'!F29)</f>
      </c>
      <c r="X65" s="11"/>
      <c r="Y65" s="11">
        <f>'入力(専門科目)'!G29</f>
        <v>0</v>
      </c>
      <c r="Z65" s="237">
        <f t="shared" si="17"/>
        <v>0</v>
      </c>
      <c r="AB65" s="11" t="str">
        <f>CONCATENATE('入力(理工系，国際ほか)'!B63)</f>
        <v>中国語応用I</v>
      </c>
      <c r="AC65" s="7">
        <v>2</v>
      </c>
      <c r="AD65" s="7">
        <f>'入力(理工系，国際ほか)'!C63</f>
        <v>0</v>
      </c>
      <c r="AE65" s="7">
        <f t="shared" si="10"/>
        <v>0</v>
      </c>
    </row>
    <row r="66" spans="7:31" ht="13.5">
      <c r="G66" s="11" t="str">
        <f>CONCATENATE('入力(文系・総合)'!F67)</f>
        <v>生命倫理学</v>
      </c>
      <c r="H66" s="7">
        <v>2</v>
      </c>
      <c r="I66" s="7">
        <f>'入力(文系・総合)'!G67</f>
        <v>0</v>
      </c>
      <c r="J66" s="7">
        <f t="shared" si="15"/>
        <v>0</v>
      </c>
      <c r="L66" s="11">
        <f>CONCATENATE('入力(文系・総合)'!N31)</f>
      </c>
      <c r="M66" s="7">
        <v>2</v>
      </c>
      <c r="N66" s="7">
        <f>'入力(文系・総合)'!O31</f>
        <v>0</v>
      </c>
      <c r="O66" s="7">
        <f t="shared" si="18"/>
        <v>0</v>
      </c>
      <c r="V66" s="31"/>
      <c r="W66" s="11" t="str">
        <f>CONCATENATE('入力(専門科目)'!F30)</f>
        <v>学士論文研究a(早期卒業用)</v>
      </c>
      <c r="X66" s="11">
        <v>4</v>
      </c>
      <c r="Y66" s="11">
        <f>'入力(専門科目)'!G30</f>
        <v>0</v>
      </c>
      <c r="Z66" s="237">
        <f t="shared" si="17"/>
        <v>0</v>
      </c>
      <c r="AB66" s="11" t="str">
        <f>CONCATENATE('入力(理工系，国際ほか)'!B64)</f>
        <v>中国語応用II</v>
      </c>
      <c r="AC66" s="7">
        <v>2</v>
      </c>
      <c r="AD66" s="7">
        <f>'入力(理工系，国際ほか)'!C64</f>
        <v>0</v>
      </c>
      <c r="AE66" s="7">
        <f t="shared" si="10"/>
        <v>0</v>
      </c>
    </row>
    <row r="67" spans="7:31" ht="13.5">
      <c r="G67" s="11" t="str">
        <f>CONCATENATE('入力(文系・総合)'!F68)</f>
        <v>科学技術者倫理</v>
      </c>
      <c r="H67" s="7">
        <v>2</v>
      </c>
      <c r="I67" s="7">
        <f>'入力(文系・総合)'!G68</f>
        <v>0</v>
      </c>
      <c r="J67" s="7">
        <f t="shared" si="15"/>
        <v>0</v>
      </c>
      <c r="L67" s="11">
        <f>CONCATENATE('入力(文系・総合)'!N32)</f>
      </c>
      <c r="M67" s="7">
        <v>2</v>
      </c>
      <c r="N67" s="7">
        <f>'入力(文系・総合)'!O32</f>
        <v>0</v>
      </c>
      <c r="O67" s="7">
        <f t="shared" si="18"/>
        <v>0</v>
      </c>
      <c r="V67" s="31"/>
      <c r="W67" s="11" t="str">
        <f>CONCATENATE('入力(専門科目)'!F31)</f>
        <v>学士論文研究b(早期卒業用)</v>
      </c>
      <c r="X67" s="11">
        <v>1</v>
      </c>
      <c r="Y67" s="11">
        <f>'入力(専門科目)'!G31</f>
        <v>0</v>
      </c>
      <c r="Z67" s="237">
        <f t="shared" si="17"/>
        <v>0</v>
      </c>
      <c r="AB67" s="11" t="str">
        <f>CONCATENATE('入力(理工系，国際ほか)'!B65)</f>
        <v>中国語ｾﾐﾅｰA1</v>
      </c>
      <c r="AC67" s="7">
        <v>2</v>
      </c>
      <c r="AD67" s="7">
        <f>'入力(理工系，国際ほか)'!C65</f>
        <v>0</v>
      </c>
      <c r="AE67" s="7">
        <f t="shared" si="10"/>
        <v>0</v>
      </c>
    </row>
    <row r="68" spans="7:31" ht="13.5">
      <c r="G68" s="11" t="str">
        <f>CONCATENATE('入力(文系・総合)'!F69)</f>
        <v>環境・社会論</v>
      </c>
      <c r="H68" s="7">
        <v>2</v>
      </c>
      <c r="I68" s="7">
        <f>'入力(文系・総合)'!G69</f>
        <v>0</v>
      </c>
      <c r="J68" s="7">
        <f t="shared" si="15"/>
        <v>0</v>
      </c>
      <c r="L68" s="11">
        <f>CONCATENATE('入力(文系・総合)'!N33)</f>
      </c>
      <c r="M68" s="7">
        <v>2</v>
      </c>
      <c r="N68" s="7">
        <f>'入力(文系・総合)'!O33</f>
        <v>0</v>
      </c>
      <c r="O68" s="7">
        <f t="shared" si="18"/>
        <v>0</v>
      </c>
      <c r="V68" s="31" t="s">
        <v>100</v>
      </c>
      <c r="W68" s="11" t="str">
        <f>CONCATENATE('入力(専門科目)'!F32)</f>
        <v>科学技術者実践英語</v>
      </c>
      <c r="X68" s="11">
        <v>1</v>
      </c>
      <c r="Y68" s="11">
        <f>'入力(専門科目)'!G32</f>
        <v>0</v>
      </c>
      <c r="Z68" s="237">
        <f t="shared" si="17"/>
        <v>0</v>
      </c>
      <c r="AB68" s="11" t="str">
        <f>CONCATENATE('入力(理工系，国際ほか)'!B66)</f>
        <v>中国語ｾﾐﾅｰA2</v>
      </c>
      <c r="AC68" s="7">
        <v>2</v>
      </c>
      <c r="AD68" s="7">
        <f>'入力(理工系，国際ほか)'!C66</f>
        <v>0</v>
      </c>
      <c r="AE68" s="7">
        <f t="shared" si="10"/>
        <v>0</v>
      </c>
    </row>
    <row r="69" spans="7:31" ht="13.5">
      <c r="G69" s="11" t="str">
        <f>CONCATENATE('入力(文系・総合)'!F70)</f>
        <v>社会の理工学そして芸術</v>
      </c>
      <c r="H69" s="7">
        <v>2</v>
      </c>
      <c r="I69" s="7">
        <f>'入力(文系・総合)'!G70</f>
        <v>0</v>
      </c>
      <c r="J69" s="7">
        <f t="shared" si="15"/>
        <v>0</v>
      </c>
      <c r="L69" s="11">
        <f>CONCATENATE('入力(文系・総合)'!N34)</f>
      </c>
      <c r="M69" s="7">
        <v>2</v>
      </c>
      <c r="N69" s="7">
        <f>'入力(文系・総合)'!O34</f>
        <v>0</v>
      </c>
      <c r="O69" s="7">
        <f t="shared" si="18"/>
        <v>0</v>
      </c>
      <c r="V69" s="31" t="s">
        <v>101</v>
      </c>
      <c r="W69" s="11" t="str">
        <f>CONCATENATE('入力(専門科目)'!F34)</f>
        <v>構造力学実験</v>
      </c>
      <c r="X69" s="11">
        <v>1</v>
      </c>
      <c r="Y69" s="11">
        <f>'入力(専門科目)'!G34</f>
        <v>0</v>
      </c>
      <c r="Z69" s="237">
        <f t="shared" si="17"/>
        <v>0</v>
      </c>
      <c r="AB69" s="11" t="str">
        <f>CONCATENATE('入力(理工系，国際ほか)'!B67)</f>
        <v>中国語ｾﾐﾅｰB1</v>
      </c>
      <c r="AC69" s="7">
        <v>2</v>
      </c>
      <c r="AD69" s="7">
        <f>'入力(理工系，国際ほか)'!C67</f>
        <v>0</v>
      </c>
      <c r="AE69" s="7">
        <f t="shared" si="10"/>
        <v>0</v>
      </c>
    </row>
    <row r="70" spans="7:31" ht="13.5">
      <c r="G70" s="11" t="str">
        <f>CONCATENATE('入力(文系・総合)'!F71)</f>
        <v>統計学基礎</v>
      </c>
      <c r="H70" s="7">
        <v>2</v>
      </c>
      <c r="I70" s="7">
        <f>'入力(文系・総合)'!G71</f>
        <v>0</v>
      </c>
      <c r="J70" s="7">
        <f t="shared" si="15"/>
        <v>0</v>
      </c>
      <c r="L70" s="11">
        <f>CONCATENATE('入力(文系・総合)'!N35)</f>
      </c>
      <c r="M70" s="7">
        <v>2</v>
      </c>
      <c r="N70" s="7">
        <f>'入力(文系・総合)'!O35</f>
        <v>0</v>
      </c>
      <c r="O70" s="7">
        <f t="shared" si="18"/>
        <v>0</v>
      </c>
      <c r="V70" s="31" t="s">
        <v>101</v>
      </c>
      <c r="W70" s="11" t="str">
        <f>CONCATENATE('入力(専門科目)'!F35)</f>
        <v>水理学実験</v>
      </c>
      <c r="X70" s="11">
        <v>1</v>
      </c>
      <c r="Y70" s="11">
        <f>'入力(専門科目)'!G35</f>
        <v>0</v>
      </c>
      <c r="Z70" s="237">
        <f t="shared" si="17"/>
        <v>0</v>
      </c>
      <c r="AB70" s="12" t="str">
        <f>CONCATENATE('入力(理工系，国際ほか)'!B68)</f>
        <v>中国語ｾﾐﾅｰB2</v>
      </c>
      <c r="AC70" s="12">
        <v>2</v>
      </c>
      <c r="AD70" s="12">
        <f>'入力(理工系，国際ほか)'!C68</f>
        <v>0</v>
      </c>
      <c r="AE70" s="12">
        <f t="shared" si="10"/>
        <v>0</v>
      </c>
    </row>
    <row r="71" spans="7:31" ht="13.5">
      <c r="G71" s="11" t="str">
        <f>CONCATENATE('入力(文系・総合)'!F72)</f>
        <v>統計分析入門</v>
      </c>
      <c r="H71" s="7">
        <v>2</v>
      </c>
      <c r="I71" s="7">
        <f>'入力(文系・総合)'!G72</f>
        <v>0</v>
      </c>
      <c r="J71" s="7">
        <f t="shared" si="15"/>
        <v>0</v>
      </c>
      <c r="L71" s="11">
        <f>CONCATENATE('入力(文系・総合)'!N36)</f>
      </c>
      <c r="M71" s="7">
        <v>2</v>
      </c>
      <c r="N71" s="7">
        <f>'入力(文系・総合)'!O36</f>
        <v>0</v>
      </c>
      <c r="O71" s="7">
        <f t="shared" si="18"/>
        <v>0</v>
      </c>
      <c r="V71" s="32"/>
      <c r="W71" s="12">
        <f>CONCATENATE('入力(専門科目)'!F36)</f>
      </c>
      <c r="X71" s="12"/>
      <c r="Y71" s="12">
        <f>'入力(専門科目)'!G36</f>
        <v>0</v>
      </c>
      <c r="Z71" s="238">
        <f>IF(Y71&gt;59,1*X71,0)</f>
        <v>0</v>
      </c>
      <c r="AB71" s="7" t="s">
        <v>29</v>
      </c>
      <c r="AE71" s="7">
        <f>SUM(AE29:AE70)</f>
        <v>0</v>
      </c>
    </row>
    <row r="72" spans="7:15" ht="13.5">
      <c r="G72" s="11" t="str">
        <f>CONCATENATE('入力(文系・総合)'!F73)</f>
        <v>交渉の科学</v>
      </c>
      <c r="H72" s="7">
        <v>2</v>
      </c>
      <c r="I72" s="7">
        <f>'入力(文系・総合)'!G73</f>
        <v>0</v>
      </c>
      <c r="J72" s="7">
        <f t="shared" si="15"/>
        <v>0</v>
      </c>
      <c r="L72" s="11">
        <f>CONCATENATE('入力(文系・総合)'!N37)</f>
      </c>
      <c r="M72" s="7">
        <v>2</v>
      </c>
      <c r="N72" s="7">
        <f>'入力(文系・総合)'!O37</f>
        <v>0</v>
      </c>
      <c r="O72" s="7">
        <f t="shared" si="18"/>
        <v>0</v>
      </c>
    </row>
    <row r="73" spans="7:15" ht="13.5">
      <c r="G73" s="11" t="str">
        <f>CONCATENATE('入力(文系・総合)'!F74)</f>
        <v>社会ネットワーク理論</v>
      </c>
      <c r="H73" s="7">
        <v>2</v>
      </c>
      <c r="I73" s="7">
        <f>'入力(文系・総合)'!G74</f>
        <v>0</v>
      </c>
      <c r="J73" s="7">
        <f t="shared" si="15"/>
        <v>0</v>
      </c>
      <c r="L73" s="11">
        <f>CONCATENATE('入力(文系・総合)'!N38)</f>
      </c>
      <c r="M73" s="7">
        <v>2</v>
      </c>
      <c r="N73" s="7">
        <f>'入力(文系・総合)'!O38</f>
        <v>0</v>
      </c>
      <c r="O73" s="7">
        <f t="shared" si="18"/>
        <v>0</v>
      </c>
    </row>
    <row r="74" spans="7:26" ht="13.5">
      <c r="G74" s="11">
        <f>CONCATENATE('入力(文系・総合)'!F77)</f>
      </c>
      <c r="H74" s="7">
        <v>2</v>
      </c>
      <c r="I74" s="7">
        <f>'入力(文系・総合)'!G77</f>
        <v>0</v>
      </c>
      <c r="J74" s="7">
        <f t="shared" si="15"/>
        <v>0</v>
      </c>
      <c r="V74" s="30"/>
      <c r="W74" s="10" t="str">
        <f>CONCATENATE('入力(専門科目)'!B38)</f>
        <v>国土計画特別講義</v>
      </c>
      <c r="X74" s="10">
        <v>2</v>
      </c>
      <c r="Y74" s="10">
        <f>'入力(専門科目)'!C38</f>
        <v>0</v>
      </c>
      <c r="Z74" s="236">
        <f>IF(Y74&gt;59,1*X74,0)</f>
        <v>0</v>
      </c>
    </row>
    <row r="75" spans="7:26" ht="13.5">
      <c r="G75" s="11">
        <f>CONCATENATE('入力(文系・総合)'!F78)</f>
      </c>
      <c r="H75" s="7">
        <v>2</v>
      </c>
      <c r="I75" s="7">
        <f>'入力(文系・総合)'!G78</f>
        <v>0</v>
      </c>
      <c r="J75" s="7">
        <f aca="true" t="shared" si="19" ref="J75:J82">IF(I75&gt;59,1*H75,0)</f>
        <v>0</v>
      </c>
      <c r="L75" s="7" t="s">
        <v>167</v>
      </c>
      <c r="O75" s="7">
        <f>SUM(O41:O73)</f>
        <v>0</v>
      </c>
      <c r="V75" s="31" t="s">
        <v>101</v>
      </c>
      <c r="W75" s="11" t="str">
        <f>CONCATENATE('入力(専門科目)'!B39)</f>
        <v>土木・環境工学特別演習</v>
      </c>
      <c r="X75" s="11">
        <v>1</v>
      </c>
      <c r="Y75" s="11">
        <f>'入力(専門科目)'!C39</f>
        <v>0</v>
      </c>
      <c r="Z75" s="237">
        <f>IF(Y75&gt;59,1*X75,0)</f>
        <v>0</v>
      </c>
    </row>
    <row r="76" spans="7:26" ht="13.5">
      <c r="G76" s="11">
        <f>CONCATENATE('入力(文系・総合)'!F79)</f>
      </c>
      <c r="H76" s="7">
        <v>2</v>
      </c>
      <c r="I76" s="7">
        <f>'入力(文系・総合)'!G79</f>
        <v>0</v>
      </c>
      <c r="J76" s="7">
        <f t="shared" si="19"/>
        <v>0</v>
      </c>
      <c r="V76" s="31"/>
      <c r="W76" s="11" t="str">
        <f>CONCATENATE('入力(専門科目)'!B40)</f>
        <v>学士論文研究b(早期卒業用)</v>
      </c>
      <c r="X76" s="11">
        <v>5</v>
      </c>
      <c r="Y76" s="11">
        <f>'入力(専門科目)'!C40</f>
        <v>0</v>
      </c>
      <c r="Z76" s="237">
        <f>IF(Y76&gt;59,1*X76,0)</f>
        <v>0</v>
      </c>
    </row>
    <row r="77" spans="7:26" ht="13.5">
      <c r="G77" s="11">
        <f>CONCATENATE('入力(文系・総合)'!F80)</f>
      </c>
      <c r="H77" s="7">
        <v>2</v>
      </c>
      <c r="I77" s="7">
        <f>'入力(文系・総合)'!G80</f>
        <v>0</v>
      </c>
      <c r="J77" s="7">
        <f t="shared" si="19"/>
        <v>0</v>
      </c>
      <c r="V77" s="31"/>
      <c r="W77" s="11" t="str">
        <f>CONCATENATE('入力(専門科目)'!B41)</f>
        <v>学士論文研究c</v>
      </c>
      <c r="X77" s="11">
        <v>1</v>
      </c>
      <c r="Y77" s="11">
        <f>'入力(専門科目)'!C41</f>
        <v>0</v>
      </c>
      <c r="Z77" s="237">
        <f>IF(Y77&gt;59,1*X77,0)</f>
        <v>0</v>
      </c>
    </row>
    <row r="78" spans="7:26" ht="13.5">
      <c r="G78" s="11">
        <f>CONCATENATE('入力(文系・総合)'!F81)</f>
      </c>
      <c r="H78" s="7">
        <v>2</v>
      </c>
      <c r="I78" s="7">
        <f>'入力(文系・総合)'!G81</f>
        <v>0</v>
      </c>
      <c r="J78" s="7">
        <f t="shared" si="19"/>
        <v>0</v>
      </c>
      <c r="V78" s="32"/>
      <c r="W78" s="12">
        <f>CONCATENATE('入力(専門科目)'!B42)</f>
      </c>
      <c r="X78" s="12"/>
      <c r="Y78" s="12">
        <f>'入力(専門科目)'!C42</f>
        <v>0</v>
      </c>
      <c r="Z78" s="238">
        <f>IF(Y78&gt;59,1*X78,0)</f>
        <v>0</v>
      </c>
    </row>
    <row r="79" spans="7:15" ht="13.5">
      <c r="G79" s="11">
        <f>CONCATENATE('入力(文系・総合)'!F82)</f>
      </c>
      <c r="H79" s="7">
        <v>2</v>
      </c>
      <c r="I79" s="7">
        <f>'入力(文系・総合)'!G82</f>
        <v>0</v>
      </c>
      <c r="J79" s="7">
        <f t="shared" si="19"/>
        <v>0</v>
      </c>
      <c r="L79" s="11"/>
      <c r="M79" s="11"/>
      <c r="N79" s="11"/>
      <c r="O79" s="11"/>
    </row>
    <row r="80" spans="7:26" ht="13.5">
      <c r="G80" s="11">
        <f>CONCATENATE('入力(文系・総合)'!F83)</f>
      </c>
      <c r="H80" s="7">
        <v>2</v>
      </c>
      <c r="I80" s="7">
        <f>'入力(文系・総合)'!G83</f>
        <v>0</v>
      </c>
      <c r="J80" s="7">
        <f t="shared" si="19"/>
        <v>0</v>
      </c>
      <c r="W80" s="7" t="str">
        <f>CONCATENATE('入力(専門科目)'!F38)</f>
        <v>学士論文研究c</v>
      </c>
      <c r="X80" s="7">
        <v>5</v>
      </c>
      <c r="Y80" s="7">
        <f>'入力(専門科目)'!G38</f>
        <v>0</v>
      </c>
      <c r="Z80" s="7">
        <f>IF(Y80&gt;59,1*X80,0)</f>
        <v>0</v>
      </c>
    </row>
    <row r="81" spans="7:22" ht="13.5">
      <c r="G81" s="11">
        <f>CONCATENATE('入力(文系・総合)'!F84)</f>
      </c>
      <c r="H81" s="7">
        <v>2</v>
      </c>
      <c r="I81" s="7">
        <f>'入力(文系・総合)'!G84</f>
        <v>0</v>
      </c>
      <c r="J81" s="7">
        <f t="shared" si="19"/>
        <v>0</v>
      </c>
      <c r="V81" s="7" t="s">
        <v>459</v>
      </c>
    </row>
    <row r="82" spans="7:26" ht="13.5">
      <c r="G82" s="11">
        <f>CONCATENATE('入力(文系・総合)'!F85)</f>
      </c>
      <c r="H82" s="7">
        <v>2</v>
      </c>
      <c r="I82" s="7">
        <f>'入力(文系・総合)'!G85</f>
        <v>0</v>
      </c>
      <c r="J82" s="7">
        <f t="shared" si="19"/>
        <v>0</v>
      </c>
      <c r="V82" s="30" t="s">
        <v>100</v>
      </c>
      <c r="W82" s="10">
        <f>CONCATENATE('入力(専門科目)'!B45)</f>
      </c>
      <c r="X82" s="10">
        <f>'入力(専門科目)'!D45</f>
        <v>0</v>
      </c>
      <c r="Y82" s="10">
        <f>'入力(専門科目)'!C45</f>
        <v>0</v>
      </c>
      <c r="Z82" s="236">
        <f>IF(Y82&gt;59,1*X82,0)</f>
        <v>0</v>
      </c>
    </row>
    <row r="83" spans="7:26" ht="13.5">
      <c r="G83" s="11">
        <f>CONCATENATE('入力(文系・総合)'!F86)</f>
      </c>
      <c r="H83" s="7">
        <v>2</v>
      </c>
      <c r="I83" s="7">
        <f>'入力(文系・総合)'!G86</f>
        <v>0</v>
      </c>
      <c r="J83" s="7">
        <f>IF(I83&gt;59,1*H83,0)</f>
        <v>0</v>
      </c>
      <c r="V83" s="31" t="s">
        <v>100</v>
      </c>
      <c r="W83" s="11">
        <f>CONCATENATE('入力(専門科目)'!B46)</f>
      </c>
      <c r="X83" s="11">
        <f>'入力(専門科目)'!D46</f>
        <v>0</v>
      </c>
      <c r="Y83" s="11">
        <f>'入力(専門科目)'!C46</f>
        <v>0</v>
      </c>
      <c r="Z83" s="237">
        <f>IF(Y83&gt;59,1*X83,0)</f>
        <v>0</v>
      </c>
    </row>
    <row r="84" spans="22:26" ht="13.5">
      <c r="V84" s="31" t="s">
        <v>100</v>
      </c>
      <c r="W84" s="11">
        <f>CONCATENATE('入力(専門科目)'!B47)</f>
      </c>
      <c r="X84" s="11">
        <f>'入力(専門科目)'!D47</f>
        <v>0</v>
      </c>
      <c r="Y84" s="11">
        <f>'入力(専門科目)'!C47</f>
        <v>0</v>
      </c>
      <c r="Z84" s="237">
        <f>IF(Y84&gt;59,1*X84,0)</f>
        <v>0</v>
      </c>
    </row>
    <row r="85" spans="22:26" ht="13.5">
      <c r="V85" s="31" t="s">
        <v>100</v>
      </c>
      <c r="W85" s="11">
        <f>CONCATENATE('入力(専門科目)'!B48)</f>
      </c>
      <c r="X85" s="11">
        <f>'入力(専門科目)'!D48</f>
        <v>0</v>
      </c>
      <c r="Y85" s="11">
        <f>'入力(専門科目)'!C48</f>
        <v>0</v>
      </c>
      <c r="Z85" s="237">
        <f>IF(Y85&gt;59,1*X85,0)</f>
        <v>0</v>
      </c>
    </row>
    <row r="86" spans="7:26" ht="13.5">
      <c r="G86" s="7" t="s">
        <v>167</v>
      </c>
      <c r="J86" s="7">
        <f>SUM(J4:J83)</f>
        <v>0</v>
      </c>
      <c r="V86" s="32" t="s">
        <v>100</v>
      </c>
      <c r="W86" s="12">
        <f>CONCATENATE('入力(専門科目)'!B49)</f>
      </c>
      <c r="X86" s="12">
        <f>'入力(専門科目)'!D49</f>
        <v>0</v>
      </c>
      <c r="Y86" s="12">
        <f>'入力(専門科目)'!C49</f>
        <v>0</v>
      </c>
      <c r="Z86" s="238">
        <f>IF(Y86&gt;59,1*X86,0)</f>
        <v>0</v>
      </c>
    </row>
    <row r="88" spans="22:26" ht="13.5">
      <c r="V88" s="30"/>
      <c r="W88" s="10">
        <f>CONCATENATE('入力(専門科目)'!B51)</f>
      </c>
      <c r="X88" s="10">
        <f>'入力(専門科目)'!D51</f>
        <v>0</v>
      </c>
      <c r="Y88" s="10">
        <f>'入力(専門科目)'!C51</f>
        <v>0</v>
      </c>
      <c r="Z88" s="236">
        <f>IF(Y88&gt;59,1*X88,0)</f>
        <v>0</v>
      </c>
    </row>
    <row r="89" spans="22:26" ht="13.5">
      <c r="V89" s="31"/>
      <c r="W89" s="11">
        <f>CONCATENATE('入力(専門科目)'!B52)</f>
      </c>
      <c r="X89" s="11">
        <f>'入力(専門科目)'!D52</f>
        <v>0</v>
      </c>
      <c r="Y89" s="11">
        <f>'入力(専門科目)'!C52</f>
        <v>0</v>
      </c>
      <c r="Z89" s="237">
        <f>IF(Y89&gt;59,1*X89,0)</f>
        <v>0</v>
      </c>
    </row>
    <row r="90" spans="22:26" ht="13.5">
      <c r="V90" s="31"/>
      <c r="W90" s="11">
        <f>CONCATENATE('入力(専門科目)'!B53)</f>
      </c>
      <c r="X90" s="11">
        <f>'入力(専門科目)'!D53</f>
        <v>0</v>
      </c>
      <c r="Y90" s="11">
        <f>'入力(専門科目)'!C53</f>
        <v>0</v>
      </c>
      <c r="Z90" s="237">
        <f>IF(Y90&gt;59,1*X90,0)</f>
        <v>0</v>
      </c>
    </row>
    <row r="91" spans="22:26" ht="13.5">
      <c r="V91" s="31"/>
      <c r="W91" s="11">
        <f>CONCATENATE('入力(専門科目)'!B54)</f>
      </c>
      <c r="X91" s="11">
        <f>'入力(専門科目)'!D54</f>
        <v>0</v>
      </c>
      <c r="Y91" s="11">
        <f>'入力(専門科目)'!C54</f>
        <v>0</v>
      </c>
      <c r="Z91" s="237">
        <f>IF(Y91&gt;59,1*X91,0)</f>
        <v>0</v>
      </c>
    </row>
    <row r="92" spans="22:26" ht="13.5">
      <c r="V92" s="32"/>
      <c r="W92" s="12">
        <f>CONCATENATE('入力(専門科目)'!B55)</f>
      </c>
      <c r="X92" s="12">
        <f>'入力(専門科目)'!D55</f>
        <v>0</v>
      </c>
      <c r="Y92" s="12">
        <f>'入力(専門科目)'!C55</f>
        <v>0</v>
      </c>
      <c r="Z92" s="238">
        <f>IF(Y92&gt;59,1*X92,0)</f>
        <v>0</v>
      </c>
    </row>
    <row r="93" spans="23:26" ht="13.5">
      <c r="W93" s="118" t="s">
        <v>103</v>
      </c>
      <c r="X93" s="118"/>
      <c r="Y93" s="118"/>
      <c r="Z93" s="118">
        <f>Z75+Z69+Z70+Z54+Z46+Z47+Z30+Z27+Z14</f>
        <v>0</v>
      </c>
    </row>
    <row r="94" spans="23:26" ht="13.5">
      <c r="W94" s="118" t="s">
        <v>104</v>
      </c>
      <c r="X94" s="118"/>
      <c r="Y94" s="118"/>
      <c r="Z94" s="118">
        <f>SUM(Z8:Z13,Z21:Z26,Z28,Z34:Z38,Z40,Z57,Z68,Z15,Z82:Z86)</f>
        <v>0</v>
      </c>
    </row>
    <row r="95" spans="23:26" ht="13.5">
      <c r="W95" s="118" t="s">
        <v>165</v>
      </c>
      <c r="X95" s="118"/>
      <c r="Y95" s="118"/>
      <c r="Z95" s="118">
        <f>SUM(Z4,Z6,Z31,Z39,Z41:Z45,Z56,Z55,Z58:Z64,Z74,Z29,Z88:Z92)</f>
        <v>0</v>
      </c>
    </row>
    <row r="96" spans="23:26" ht="13.5">
      <c r="W96" s="118" t="s">
        <v>105</v>
      </c>
      <c r="X96" s="118"/>
      <c r="Y96" s="118"/>
      <c r="Z96" s="118">
        <f>IF(Z77+Z80&gt;0,Z77+Z80,IF(Z67+Z76&gt;0,Z67+Z76,Z66))</f>
        <v>0</v>
      </c>
    </row>
    <row r="97" spans="23:26" ht="13.5">
      <c r="W97" s="118"/>
      <c r="X97" s="118" t="s">
        <v>205</v>
      </c>
      <c r="Y97" s="118"/>
      <c r="Z97" s="122">
        <f>IF(OR(Z67+Z76&gt;5,Z77+Z80&gt;5,Z66&gt;3),1,0)</f>
        <v>0</v>
      </c>
    </row>
    <row r="98" spans="23:26" ht="13.5">
      <c r="W98" s="118"/>
      <c r="X98" s="118"/>
      <c r="Y98" s="118"/>
      <c r="Z98" s="118"/>
    </row>
    <row r="99" spans="23:26" ht="13.5">
      <c r="W99" s="118" t="s">
        <v>102</v>
      </c>
      <c r="X99" s="118"/>
      <c r="Y99" s="118"/>
      <c r="Z99" s="118">
        <f>Z93+Z94+Z95+Z96</f>
        <v>0</v>
      </c>
    </row>
    <row r="100" spans="25:26" ht="13.5">
      <c r="Y100" s="7" t="s">
        <v>277</v>
      </c>
      <c r="Z100" s="7">
        <f>SUM(Z4:Z92)</f>
        <v>0</v>
      </c>
    </row>
    <row r="119" spans="28:31" ht="13.5">
      <c r="AB119" s="11"/>
      <c r="AC119" s="11"/>
      <c r="AD119" s="11"/>
      <c r="AE119" s="11"/>
    </row>
    <row r="120" ht="13.5">
      <c r="F120" s="11"/>
    </row>
    <row r="127" ht="13.5">
      <c r="K127" s="11"/>
    </row>
  </sheetData>
  <sheetProtection sheet="1" objects="1" scenarios="1" selectLockedCells="1" selectUnlockedCells="1"/>
  <mergeCells count="4">
    <mergeCell ref="AF15:AF17"/>
    <mergeCell ref="AF18:AF20"/>
    <mergeCell ref="AF21:AF23"/>
    <mergeCell ref="AF24:AF26"/>
  </mergeCells>
  <conditionalFormatting sqref="Z97">
    <cfRule type="cellIs" priority="1" dxfId="0" operator="equal" stopIfTrue="1">
      <formula>"×"</formula>
    </cfRule>
  </conditionalFormatting>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BA83"/>
  <sheetViews>
    <sheetView zoomScale="75" zoomScaleNormal="75" workbookViewId="0" topLeftCell="A1">
      <pane xSplit="3" topLeftCell="D1" activePane="topRight" state="frozen"/>
      <selection pane="topLeft" activeCell="A1" sqref="A1"/>
      <selection pane="topRight" activeCell="N41" sqref="N41"/>
    </sheetView>
  </sheetViews>
  <sheetFormatPr defaultColWidth="9.00390625" defaultRowHeight="15" customHeight="1"/>
  <cols>
    <col min="1" max="1" width="3.125" style="7" customWidth="1"/>
    <col min="2" max="2" width="23.50390625" style="29" bestFit="1" customWidth="1"/>
    <col min="3" max="3" width="6.50390625" style="246" customWidth="1"/>
    <col min="4" max="4" width="14.125" style="7" customWidth="1"/>
    <col min="5" max="5" width="14.50390625" style="7" customWidth="1"/>
    <col min="6" max="6" width="14.625" style="7" customWidth="1"/>
    <col min="7" max="7" width="11.875" style="7" customWidth="1"/>
    <col min="8" max="8" width="13.50390625" style="7" customWidth="1"/>
    <col min="9" max="10" width="11.875" style="7" customWidth="1"/>
    <col min="11" max="11" width="12.125" style="7" customWidth="1"/>
    <col min="12" max="12" width="13.375" style="7" customWidth="1"/>
    <col min="13" max="13" width="11.875" style="7" customWidth="1"/>
    <col min="14" max="14" width="12.125" style="7" customWidth="1"/>
    <col min="15" max="17" width="9.00390625" style="7" customWidth="1"/>
    <col min="18" max="18" width="10.875" style="7" customWidth="1"/>
    <col min="19" max="16384" width="9.00390625" style="7" customWidth="1"/>
  </cols>
  <sheetData>
    <row r="1" spans="2:4" ht="15" customHeight="1">
      <c r="B1" s="16" t="s">
        <v>31</v>
      </c>
      <c r="C1" s="245" t="s">
        <v>30</v>
      </c>
      <c r="D1" s="7" t="s">
        <v>22</v>
      </c>
    </row>
    <row r="2" spans="1:12" ht="15" customHeight="1" thickBot="1">
      <c r="A2" s="7">
        <f>CONCATENATE('入力不可1'!V4)</f>
      </c>
      <c r="B2" s="7" t="str">
        <f>CONCATENATE('入力不可1'!W4)</f>
        <v>6類特別講義第一</v>
      </c>
      <c r="C2" s="279">
        <f>'入力不可1'!Y4</f>
        <v>0</v>
      </c>
      <c r="D2" s="15" t="s">
        <v>107</v>
      </c>
      <c r="E2" s="15"/>
      <c r="F2" s="15"/>
      <c r="G2" s="15"/>
      <c r="H2" s="15"/>
      <c r="I2" s="15"/>
      <c r="J2" s="15"/>
      <c r="K2" s="15"/>
      <c r="L2" s="15"/>
    </row>
    <row r="3" spans="1:12" ht="15" customHeight="1">
      <c r="A3" s="7">
        <f>CONCATENATE('入力不可1'!V5)</f>
      </c>
      <c r="B3" s="7">
        <f>CONCATENATE('入力不可1'!W5)</f>
      </c>
      <c r="C3" s="279">
        <f>'入力不可1'!Y5</f>
        <v>0</v>
      </c>
      <c r="D3" s="239" t="s">
        <v>0</v>
      </c>
      <c r="E3" s="18" t="s">
        <v>290</v>
      </c>
      <c r="F3" s="18" t="s">
        <v>292</v>
      </c>
      <c r="G3" s="18" t="s">
        <v>2</v>
      </c>
      <c r="H3" s="18" t="s">
        <v>3</v>
      </c>
      <c r="I3" s="18" t="s">
        <v>6</v>
      </c>
      <c r="J3" s="18" t="s">
        <v>441</v>
      </c>
      <c r="K3" s="19" t="s">
        <v>442</v>
      </c>
      <c r="L3" s="118" t="s">
        <v>253</v>
      </c>
    </row>
    <row r="4" spans="1:12" ht="15" customHeight="1" thickBot="1">
      <c r="A4" s="7">
        <f>CONCATENATE('入力不可1'!V6)</f>
      </c>
      <c r="B4" s="7" t="str">
        <f>CONCATENATE('入力不可1'!W6)</f>
        <v>6類特別講義第二</v>
      </c>
      <c r="C4" s="279">
        <f>'入力不可1'!Y6</f>
        <v>0</v>
      </c>
      <c r="D4" s="240">
        <f>IF(C39&gt;59,1,0)</f>
        <v>0</v>
      </c>
      <c r="E4" s="21">
        <f>IF(C10&gt;59,1,0)</f>
        <v>0</v>
      </c>
      <c r="F4" s="21">
        <f>IF(C26&gt;59,1,0)</f>
        <v>0</v>
      </c>
      <c r="G4" s="21">
        <f>IF(C6&gt;59,1,0)</f>
        <v>0</v>
      </c>
      <c r="H4" s="21">
        <f>IF(C7&gt;59,1,0)</f>
        <v>0</v>
      </c>
      <c r="I4" s="21">
        <f>IF(C59&gt;59,1,0)</f>
        <v>0</v>
      </c>
      <c r="J4" s="21">
        <f>IF(C9&gt;59,1,0)</f>
        <v>0</v>
      </c>
      <c r="K4" s="21">
        <f>IF(C11&gt;59,1,0)</f>
        <v>0</v>
      </c>
      <c r="L4" s="118">
        <f>SUM(D4:K4)</f>
        <v>0</v>
      </c>
    </row>
    <row r="5" spans="1:7" ht="12.75" thickBot="1">
      <c r="A5" s="7">
        <f>CONCATENATE('入力不可1'!V7)</f>
      </c>
      <c r="B5" s="7">
        <f>CONCATENATE('入力不可1'!W7)</f>
      </c>
      <c r="C5" s="279">
        <f>'入力不可1'!Y7</f>
        <v>0</v>
      </c>
      <c r="D5" s="125"/>
      <c r="E5" s="13"/>
      <c r="F5" s="13"/>
      <c r="G5" s="13"/>
    </row>
    <row r="6" spans="1:7" ht="15" customHeight="1">
      <c r="A6" s="7" t="str">
        <f>CONCATENATE('入力不可1'!V8)</f>
        <v>○</v>
      </c>
      <c r="B6" s="7" t="str">
        <f>CONCATENATE('入力不可1'!W8)</f>
        <v>材料と部材の力学</v>
      </c>
      <c r="C6" s="279">
        <f>'入力不可1'!Y8</f>
        <v>0</v>
      </c>
      <c r="E6" s="11"/>
      <c r="F6" s="11"/>
      <c r="G6" s="11"/>
    </row>
    <row r="7" spans="1:7" ht="15" customHeight="1" thickBot="1">
      <c r="A7" s="7" t="str">
        <f>CONCATENATE('入力不可1'!V9)</f>
        <v>○</v>
      </c>
      <c r="B7" s="7" t="str">
        <f>CONCATENATE('入力不可1'!W9)</f>
        <v>水理学原理</v>
      </c>
      <c r="C7" s="279">
        <f>'入力不可1'!Y9</f>
        <v>0</v>
      </c>
      <c r="E7" s="11"/>
      <c r="F7" s="11"/>
      <c r="G7" s="11"/>
    </row>
    <row r="8" spans="1:7" ht="15" customHeight="1" thickBot="1">
      <c r="A8" s="7" t="str">
        <f>CONCATENATE('入力不可1'!V10)</f>
        <v>○</v>
      </c>
      <c r="B8" s="7" t="str">
        <f>CONCATENATE('入力不可1'!W10)</f>
        <v>土質力学第1</v>
      </c>
      <c r="C8" s="279">
        <f>'入力不可1'!Y10</f>
        <v>0</v>
      </c>
      <c r="D8" s="125" t="s">
        <v>23</v>
      </c>
      <c r="E8" s="15"/>
      <c r="F8" s="15"/>
      <c r="G8" s="15"/>
    </row>
    <row r="9" spans="1:53" ht="15" customHeight="1">
      <c r="A9" s="7" t="str">
        <f>CONCATENATE('入力不可1'!V11)</f>
        <v>○</v>
      </c>
      <c r="B9" s="7" t="str">
        <f>CONCATENATE('入力不可1'!W11)</f>
        <v>土木計画の理論と数理</v>
      </c>
      <c r="C9" s="279">
        <f>'入力不可1'!Y11</f>
        <v>0</v>
      </c>
      <c r="D9" s="239" t="s">
        <v>443</v>
      </c>
      <c r="E9" s="18" t="s">
        <v>14</v>
      </c>
      <c r="F9" s="18" t="s">
        <v>11</v>
      </c>
      <c r="G9" s="19" t="s">
        <v>444</v>
      </c>
      <c r="I9" s="118" t="s">
        <v>253</v>
      </c>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row>
    <row r="10" spans="1:19" ht="15" customHeight="1" thickBot="1">
      <c r="A10" s="7" t="str">
        <f>CONCATENATE('入力不可1'!V12)</f>
        <v>○</v>
      </c>
      <c r="B10" s="7" t="str">
        <f>CONCATENATE('入力不可1'!W12)</f>
        <v>工業数学第一・演習</v>
      </c>
      <c r="C10" s="279">
        <f>'入力不可1'!Y12</f>
        <v>0</v>
      </c>
      <c r="D10" s="240">
        <f>IF(C2&gt;59,1,0)</f>
        <v>0</v>
      </c>
      <c r="E10" s="20">
        <f>IF(C4&gt;59,1,0)</f>
        <v>0</v>
      </c>
      <c r="F10" s="20">
        <f>IF(C42&gt;59,1,0)</f>
        <v>0</v>
      </c>
      <c r="G10" s="20">
        <f>IF(C40&gt;59,1,0)</f>
        <v>0</v>
      </c>
      <c r="I10" s="118">
        <f>SUM(D10:G10)</f>
        <v>0</v>
      </c>
      <c r="S10" s="7" t="s">
        <v>166</v>
      </c>
    </row>
    <row r="11" spans="1:9" ht="15" customHeight="1">
      <c r="A11" s="7" t="str">
        <f>CONCATENATE('入力不可1'!V13)</f>
        <v>○</v>
      </c>
      <c r="B11" s="7" t="str">
        <f>CONCATENATE('入力不可1'!W13)</f>
        <v>数値解析基礎・演習</v>
      </c>
      <c r="C11" s="279">
        <f>'入力不可1'!Y13</f>
        <v>0</v>
      </c>
      <c r="D11" s="13"/>
      <c r="E11" s="13"/>
      <c r="F11" s="13"/>
      <c r="G11" s="13"/>
      <c r="H11" s="11"/>
      <c r="I11" s="11"/>
    </row>
    <row r="12" spans="1:3" ht="15" customHeight="1">
      <c r="A12" s="7" t="str">
        <f>CONCATENATE('入力不可1'!V14)</f>
        <v>◎</v>
      </c>
      <c r="B12" s="7" t="str">
        <f>CONCATENATE('入力不可1'!W14)</f>
        <v>環境計画演習</v>
      </c>
      <c r="C12" s="279">
        <f>'入力不可1'!Y14</f>
        <v>0</v>
      </c>
    </row>
    <row r="13" spans="1:3" ht="15" customHeight="1">
      <c r="A13" s="7" t="str">
        <f>CONCATENATE('入力不可1'!V15)</f>
        <v>○</v>
      </c>
      <c r="B13" s="7" t="str">
        <f>CONCATENATE('入力不可1'!W15)</f>
        <v>工学と環境I</v>
      </c>
      <c r="C13" s="279">
        <f>'入力不可1'!Y15</f>
        <v>0</v>
      </c>
    </row>
    <row r="14" spans="1:4" ht="15" customHeight="1" thickBot="1">
      <c r="A14" s="7">
        <f>CONCATENATE('入力不可1'!V16)</f>
      </c>
      <c r="B14" s="7">
        <f>CONCATENATE('入力不可1'!W16)</f>
      </c>
      <c r="C14" s="279">
        <f>'入力不可1'!Y16</f>
        <v>0</v>
      </c>
      <c r="D14" s="9" t="s">
        <v>252</v>
      </c>
    </row>
    <row r="15" spans="1:13" ht="15" customHeight="1">
      <c r="A15" s="7">
        <f>CONCATENATE('入力不可1'!V17)</f>
      </c>
      <c r="B15" s="7">
        <f>CONCATENATE('入力不可1'!W17)</f>
      </c>
      <c r="C15" s="279">
        <f>'入力不可1'!Y17</f>
        <v>0</v>
      </c>
      <c r="D15" s="355" t="s">
        <v>17</v>
      </c>
      <c r="E15" s="356"/>
      <c r="F15" s="356"/>
      <c r="G15" s="357"/>
      <c r="H15" s="355" t="s">
        <v>18</v>
      </c>
      <c r="I15" s="356"/>
      <c r="J15" s="357"/>
      <c r="K15" s="355" t="s">
        <v>19</v>
      </c>
      <c r="L15" s="356"/>
      <c r="M15" s="357"/>
    </row>
    <row r="16" spans="1:40" ht="24" customHeight="1">
      <c r="A16" s="7">
        <f>CONCATENATE('入力不可1'!V18)</f>
      </c>
      <c r="B16" s="7">
        <f>CONCATENATE('入力不可1'!W18)</f>
      </c>
      <c r="C16" s="279">
        <f>'入力不可1'!Y18</f>
        <v>0</v>
      </c>
      <c r="D16" s="241" t="s">
        <v>209</v>
      </c>
      <c r="E16" s="17" t="s">
        <v>210</v>
      </c>
      <c r="F16" s="17" t="s">
        <v>211</v>
      </c>
      <c r="G16" s="25" t="s">
        <v>208</v>
      </c>
      <c r="H16" s="24" t="s">
        <v>3</v>
      </c>
      <c r="I16" s="17" t="s">
        <v>4</v>
      </c>
      <c r="J16" s="25" t="s">
        <v>5</v>
      </c>
      <c r="K16" s="24" t="s">
        <v>7</v>
      </c>
      <c r="L16" s="17" t="s">
        <v>8</v>
      </c>
      <c r="M16" s="25" t="s">
        <v>9</v>
      </c>
      <c r="AI16" s="28"/>
      <c r="AJ16" s="28"/>
      <c r="AK16" s="28"/>
      <c r="AL16" s="28"/>
      <c r="AM16" s="28"/>
      <c r="AN16" s="28"/>
    </row>
    <row r="17" spans="1:13" ht="15" customHeight="1" thickBot="1">
      <c r="A17" s="7">
        <f>CONCATENATE('入力不可1'!V19)</f>
      </c>
      <c r="B17" s="7">
        <f>CONCATENATE('入力不可1'!W19)</f>
      </c>
      <c r="C17" s="279">
        <f>'入力不可1'!Y19</f>
        <v>0</v>
      </c>
      <c r="D17" s="240">
        <f>IF(C19&gt;59,1,0)</f>
        <v>0</v>
      </c>
      <c r="E17" s="20">
        <f>IF(C32&gt;59,1,0)</f>
        <v>0</v>
      </c>
      <c r="F17" s="20">
        <f>IF(C38&gt;59,1,0)</f>
        <v>0</v>
      </c>
      <c r="G17" s="20">
        <f>IF(C6&gt;59,1,0)</f>
        <v>0</v>
      </c>
      <c r="H17" s="20">
        <f>IF(C7&gt;59,1,0)</f>
        <v>0</v>
      </c>
      <c r="I17" s="20">
        <f>IF(C20&gt;59,1,0)</f>
        <v>0</v>
      </c>
      <c r="J17" s="20">
        <f>IF(C33&gt;59,1,0)</f>
        <v>0</v>
      </c>
      <c r="K17" s="20">
        <f>IF(C34&gt;59,1,0)</f>
        <v>0</v>
      </c>
      <c r="L17" s="20">
        <f>IF(C8&gt;59,1,0)</f>
        <v>0</v>
      </c>
      <c r="M17" s="20">
        <f>IF(C21&gt;59,1,0)</f>
        <v>0</v>
      </c>
    </row>
    <row r="18" spans="1:13" ht="15" customHeight="1">
      <c r="A18" s="7">
        <f>CONCATENATE('入力不可1'!V20)</f>
      </c>
      <c r="B18" s="7">
        <f>CONCATENATE('入力不可1'!W20)</f>
      </c>
      <c r="C18" s="279">
        <f>'入力不可1'!Y20</f>
        <v>0</v>
      </c>
      <c r="F18" s="118" t="s">
        <v>254</v>
      </c>
      <c r="G18" s="38">
        <f>IF(SUM(D17:G17)&gt;0,1,0)</f>
        <v>0</v>
      </c>
      <c r="I18" s="118" t="s">
        <v>255</v>
      </c>
      <c r="J18" s="38">
        <f>IF(SUM(H17:J17)&gt;0,1,0)</f>
        <v>0</v>
      </c>
      <c r="L18" s="118" t="s">
        <v>256</v>
      </c>
      <c r="M18" s="38">
        <f>IF(SUM(K17:M17)&gt;0,1,0)</f>
        <v>0</v>
      </c>
    </row>
    <row r="19" spans="1:12" ht="15" customHeight="1" thickBot="1">
      <c r="A19" s="7" t="str">
        <f>CONCATENATE('入力不可1'!V21)</f>
        <v>○</v>
      </c>
      <c r="B19" s="7" t="str">
        <f>CONCATENATE('入力不可1'!W21)</f>
        <v>構造力学第1</v>
      </c>
      <c r="C19" s="279">
        <f>'入力不可1'!Y21</f>
        <v>0</v>
      </c>
      <c r="F19" s="118">
        <f>SUM(D17:G17)</f>
        <v>0</v>
      </c>
      <c r="I19" s="118">
        <f>SUM(H17:J17)</f>
        <v>0</v>
      </c>
      <c r="L19" s="118">
        <f>SUM(K17:M17)</f>
        <v>0</v>
      </c>
    </row>
    <row r="20" spans="1:11" ht="15" customHeight="1">
      <c r="A20" s="7" t="str">
        <f>CONCATENATE('入力不可1'!V22)</f>
        <v>○</v>
      </c>
      <c r="B20" s="7" t="str">
        <f>CONCATENATE('入力不可1'!W22)</f>
        <v>水理学第1</v>
      </c>
      <c r="C20" s="279">
        <f>'入力不可1'!Y22</f>
        <v>0</v>
      </c>
      <c r="D20" s="355" t="s">
        <v>20</v>
      </c>
      <c r="E20" s="357"/>
      <c r="F20" s="358" t="s">
        <v>21</v>
      </c>
      <c r="G20" s="359"/>
      <c r="H20" s="360"/>
      <c r="I20" s="358" t="s">
        <v>446</v>
      </c>
      <c r="J20" s="359"/>
      <c r="K20" s="360"/>
    </row>
    <row r="21" spans="1:11" ht="15" customHeight="1">
      <c r="A21" s="7" t="str">
        <f>CONCATENATE('入力不可1'!V23)</f>
        <v>○</v>
      </c>
      <c r="B21" s="7" t="str">
        <f>CONCATENATE('入力不可1'!W23)</f>
        <v>土質力学第2</v>
      </c>
      <c r="C21" s="279">
        <f>'入力不可1'!Y23</f>
        <v>0</v>
      </c>
      <c r="D21" s="241" t="s">
        <v>15</v>
      </c>
      <c r="E21" s="25" t="s">
        <v>16</v>
      </c>
      <c r="F21" s="24" t="s">
        <v>441</v>
      </c>
      <c r="G21" s="36" t="s">
        <v>207</v>
      </c>
      <c r="H21" s="25"/>
      <c r="I21" s="24" t="s">
        <v>447</v>
      </c>
      <c r="J21" s="36" t="s">
        <v>434</v>
      </c>
      <c r="K21" s="290"/>
    </row>
    <row r="22" spans="1:12" ht="15" customHeight="1" thickBot="1">
      <c r="A22" s="7" t="str">
        <f>CONCATENATE('入力不可1'!V24)</f>
        <v>○</v>
      </c>
      <c r="B22" s="7" t="str">
        <f>CONCATENATE('入力不可1'!W24)</f>
        <v>ｺﾝｸﾘｰﾄ工学</v>
      </c>
      <c r="C22" s="279">
        <f>'入力不可1'!Y24</f>
        <v>0</v>
      </c>
      <c r="D22" s="240">
        <f>IF(C22&gt;59,1,0)</f>
        <v>0</v>
      </c>
      <c r="E22" s="20">
        <f>IF(C35&gt;59,1,0)</f>
        <v>0</v>
      </c>
      <c r="F22" s="20">
        <f>IF(C9&gt;59,1,0)</f>
        <v>0</v>
      </c>
      <c r="G22" s="20">
        <f>IF(C36&gt;59,1,0)</f>
        <v>0</v>
      </c>
      <c r="I22" s="20">
        <f>IF(C13&gt;59,1,0)</f>
        <v>0</v>
      </c>
      <c r="J22" s="20">
        <f>IF(C23&gt;59,1,0)</f>
        <v>0</v>
      </c>
      <c r="K22" s="289"/>
      <c r="L22" s="118" t="s">
        <v>259</v>
      </c>
    </row>
    <row r="23" spans="1:13" ht="15" customHeight="1">
      <c r="A23" s="7" t="str">
        <f>CONCATENATE('入力不可1'!V25)</f>
        <v>○</v>
      </c>
      <c r="B23" s="7" t="str">
        <f>CONCATENATE('入力不可1'!W25)</f>
        <v>工学と環境II</v>
      </c>
      <c r="C23" s="279">
        <f>'入力不可1'!Y25</f>
        <v>0</v>
      </c>
      <c r="D23" s="118" t="s">
        <v>257</v>
      </c>
      <c r="E23" s="38">
        <f>IF(SUM(D22:E22)&gt;0,1,0)</f>
        <v>0</v>
      </c>
      <c r="G23" s="118" t="s">
        <v>258</v>
      </c>
      <c r="H23" s="38">
        <f>IF(SUM(F22:G22)&gt;0,1,0)</f>
        <v>0</v>
      </c>
      <c r="J23" s="118" t="s">
        <v>448</v>
      </c>
      <c r="K23" s="288">
        <f>IF(SUM(I22:J22)&gt;0,1,0)</f>
        <v>0</v>
      </c>
      <c r="M23" s="118">
        <f>SUM(G18,J18,M18,E23,H23,K23)</f>
        <v>0</v>
      </c>
    </row>
    <row r="24" spans="1:10" ht="15" customHeight="1">
      <c r="A24" s="7" t="str">
        <f>CONCATENATE('入力不可1'!V26)</f>
        <v>○</v>
      </c>
      <c r="B24" s="7" t="str">
        <f>CONCATENATE('入力不可1'!W26)</f>
        <v>測量学</v>
      </c>
      <c r="C24" s="279">
        <f>'入力不可1'!Y26</f>
        <v>0</v>
      </c>
      <c r="D24" s="118">
        <f>SUM(D22:E22)</f>
        <v>0</v>
      </c>
      <c r="G24" s="118">
        <f>SUM(F22:G22)</f>
        <v>0</v>
      </c>
      <c r="J24" s="118">
        <f>SUM(I22:J22)</f>
        <v>0</v>
      </c>
    </row>
    <row r="25" spans="1:3" ht="15" customHeight="1" thickBot="1">
      <c r="A25" s="7" t="str">
        <f>CONCATENATE('入力不可1'!V27)</f>
        <v>◎</v>
      </c>
      <c r="B25" s="7" t="str">
        <f>CONCATENATE('入力不可1'!W27)</f>
        <v>測量学実習</v>
      </c>
      <c r="C25" s="279">
        <f>'入力不可1'!Y27</f>
        <v>0</v>
      </c>
    </row>
    <row r="26" spans="1:8" ht="15" customHeight="1" thickBot="1">
      <c r="A26" s="7" t="str">
        <f>CONCATENATE('入力不可1'!V28)</f>
        <v>○</v>
      </c>
      <c r="B26" s="7" t="str">
        <f>CONCATENATE('入力不可1'!W28)</f>
        <v>工業数学第二・演習</v>
      </c>
      <c r="C26" s="279">
        <f>'入力不可1'!Y28</f>
        <v>0</v>
      </c>
      <c r="D26" s="13" t="s">
        <v>264</v>
      </c>
      <c r="E26" s="13"/>
      <c r="F26" s="13"/>
      <c r="G26" s="13"/>
      <c r="H26" s="14"/>
    </row>
    <row r="27" spans="1:9" ht="15" customHeight="1">
      <c r="A27" s="7">
        <f>CONCATENATE('入力不可1'!V29)</f>
      </c>
      <c r="B27" s="7" t="str">
        <f>CONCATENATE('入力不可1'!W29)</f>
        <v>空間ﾃﾞｻﾞｲﾝ</v>
      </c>
      <c r="C27" s="279">
        <f>'入力不可1'!Y29</f>
        <v>0</v>
      </c>
      <c r="D27" s="239" t="s">
        <v>12</v>
      </c>
      <c r="E27" s="18" t="s">
        <v>290</v>
      </c>
      <c r="F27" s="18" t="s">
        <v>292</v>
      </c>
      <c r="G27" s="18" t="s">
        <v>440</v>
      </c>
      <c r="H27" s="19" t="s">
        <v>442</v>
      </c>
      <c r="I27" s="118" t="s">
        <v>253</v>
      </c>
    </row>
    <row r="28" spans="1:9" ht="15" customHeight="1" thickBot="1">
      <c r="A28" s="7" t="str">
        <f>CONCATENATE('入力不可1'!V30)</f>
        <v>◎</v>
      </c>
      <c r="B28" s="7" t="str">
        <f>CONCATENATE('入力不可1'!W30)</f>
        <v>ｲﾝﾌﾗｽﾄﾗｸﾁｬｰの計画と設計</v>
      </c>
      <c r="C28" s="279">
        <f>'入力不可1'!Y30</f>
        <v>0</v>
      </c>
      <c r="D28" s="240">
        <f>IF(C27&gt;59,1,0)</f>
        <v>0</v>
      </c>
      <c r="E28" s="20">
        <f>IF(C10&gt;59,1,0)</f>
        <v>0</v>
      </c>
      <c r="F28" s="20">
        <f>IF(C26&gt;59,1,0)</f>
        <v>0</v>
      </c>
      <c r="G28" s="20">
        <f>IF(C55&gt;59,1,0)</f>
        <v>0</v>
      </c>
      <c r="H28" s="20">
        <f>IF(C11&gt;59,1,0)</f>
        <v>0</v>
      </c>
      <c r="I28" s="118">
        <f>SUM(D28:H28)</f>
        <v>0</v>
      </c>
    </row>
    <row r="29" spans="1:3" ht="15" customHeight="1" thickBot="1">
      <c r="A29" s="7">
        <f>CONCATENATE('入力不可1'!V31)</f>
      </c>
      <c r="B29" s="7" t="str">
        <f>CONCATENATE('入力不可1'!W31)</f>
        <v>Civil Engineering English 1</v>
      </c>
      <c r="C29" s="279">
        <f>'入力不可1'!Y31</f>
        <v>0</v>
      </c>
    </row>
    <row r="30" spans="1:9" ht="15" customHeight="1" thickBot="1">
      <c r="A30" s="7">
        <f>CONCATENATE('入力不可1'!V32)</f>
      </c>
      <c r="B30" s="7">
        <f>CONCATENATE('入力不可1'!W32)</f>
      </c>
      <c r="C30" s="279">
        <f>'入力不可1'!Y32</f>
        <v>0</v>
      </c>
      <c r="D30" s="13" t="s">
        <v>265</v>
      </c>
      <c r="E30" s="13"/>
      <c r="F30" s="13"/>
      <c r="G30" s="13"/>
      <c r="H30" s="13"/>
      <c r="I30" s="14"/>
    </row>
    <row r="31" spans="1:9" ht="15" customHeight="1">
      <c r="A31" s="7">
        <f>CONCATENATE('入力不可1'!V33)</f>
      </c>
      <c r="B31" s="7">
        <f>CONCATENATE('入力不可1'!W33)</f>
      </c>
      <c r="C31" s="279">
        <f>'入力不可1'!Y33</f>
        <v>0</v>
      </c>
      <c r="D31" s="239" t="s">
        <v>13</v>
      </c>
      <c r="E31" s="18" t="s">
        <v>14</v>
      </c>
      <c r="F31" s="18" t="s">
        <v>1</v>
      </c>
      <c r="G31" s="23" t="s">
        <v>445</v>
      </c>
      <c r="H31" s="19" t="s">
        <v>444</v>
      </c>
      <c r="I31" s="118" t="s">
        <v>253</v>
      </c>
    </row>
    <row r="32" spans="1:9" ht="15" customHeight="1" thickBot="1">
      <c r="A32" s="7" t="str">
        <f>CONCATENATE('入力不可1'!V34)</f>
        <v>○</v>
      </c>
      <c r="B32" s="7" t="str">
        <f>CONCATENATE('入力不可1'!W34)</f>
        <v>構造力学第2</v>
      </c>
      <c r="C32" s="279">
        <f>'入力不可1'!Y34</f>
        <v>0</v>
      </c>
      <c r="D32" s="240">
        <f>IF(C2&gt;59,1,0)</f>
        <v>0</v>
      </c>
      <c r="E32" s="20">
        <f>IF(C4&gt;59,1,0)</f>
        <v>0</v>
      </c>
      <c r="F32" s="20">
        <f>IF(C71&gt;59,1,0)</f>
        <v>0</v>
      </c>
      <c r="G32" s="20">
        <f>IF(C9&gt;59,1,0)</f>
        <v>0</v>
      </c>
      <c r="H32" s="20">
        <f>IF(C40&gt;59,1,0)</f>
        <v>0</v>
      </c>
      <c r="I32" s="118">
        <f>SUM(D32:H32)</f>
        <v>0</v>
      </c>
    </row>
    <row r="33" spans="1:3" ht="15" customHeight="1">
      <c r="A33" s="7" t="str">
        <f>CONCATENATE('入力不可1'!V35)</f>
        <v>○</v>
      </c>
      <c r="B33" s="7" t="str">
        <f>CONCATENATE('入力不可1'!W35)</f>
        <v>水理学第2</v>
      </c>
      <c r="C33" s="279">
        <f>'入力不可1'!Y35</f>
        <v>0</v>
      </c>
    </row>
    <row r="34" spans="1:4" ht="15" customHeight="1" thickBot="1">
      <c r="A34" s="7" t="str">
        <f>CONCATENATE('入力不可1'!V36)</f>
        <v>○</v>
      </c>
      <c r="B34" s="7" t="str">
        <f>CONCATENATE('入力不可1'!W36)</f>
        <v>土質基礎工学</v>
      </c>
      <c r="C34" s="279">
        <f>'入力不可1'!Y36</f>
        <v>0</v>
      </c>
      <c r="D34" s="7" t="s">
        <v>27</v>
      </c>
    </row>
    <row r="35" spans="1:13" ht="15" customHeight="1" thickBot="1">
      <c r="A35" s="7" t="str">
        <f>CONCATENATE('入力不可1'!V37)</f>
        <v>○</v>
      </c>
      <c r="B35" s="7" t="str">
        <f>CONCATENATE('入力不可1'!W37)</f>
        <v>ｺﾝｸﾘｰﾄ構造</v>
      </c>
      <c r="C35" s="279">
        <f>'入力不可1'!Y37</f>
        <v>0</v>
      </c>
      <c r="D35" s="123" t="s">
        <v>24</v>
      </c>
      <c r="E35" s="358" t="s">
        <v>25</v>
      </c>
      <c r="F35" s="359"/>
      <c r="G35" s="359"/>
      <c r="H35" s="361"/>
      <c r="K35" s="363" t="s">
        <v>469</v>
      </c>
      <c r="L35" s="364"/>
      <c r="M35" s="365"/>
    </row>
    <row r="36" spans="1:14" ht="15" customHeight="1" thickBot="1">
      <c r="A36" s="7" t="str">
        <f>CONCATENATE('入力不可1'!V38)</f>
        <v>○</v>
      </c>
      <c r="B36" s="7" t="str">
        <f>CONCATENATE('入力不可1'!W38)</f>
        <v>交通計画</v>
      </c>
      <c r="C36" s="279">
        <f>'入力不可1'!Y38</f>
        <v>0</v>
      </c>
      <c r="D36" s="242" t="s">
        <v>28</v>
      </c>
      <c r="E36" s="24">
        <v>2</v>
      </c>
      <c r="F36" s="17">
        <v>2</v>
      </c>
      <c r="G36" s="17">
        <v>2</v>
      </c>
      <c r="H36" s="25">
        <v>3</v>
      </c>
      <c r="I36" s="366">
        <v>2</v>
      </c>
      <c r="J36" s="366">
        <v>2</v>
      </c>
      <c r="K36" s="367">
        <v>2</v>
      </c>
      <c r="L36" s="367">
        <v>2</v>
      </c>
      <c r="M36" s="367">
        <v>2</v>
      </c>
      <c r="N36" s="366">
        <v>2</v>
      </c>
    </row>
    <row r="37" spans="1:14" ht="15" customHeight="1" thickBot="1">
      <c r="A37" s="7">
        <f>CONCATENATE('入力不可1'!V39)</f>
      </c>
      <c r="B37" s="7" t="str">
        <f>CONCATENATE('入力不可1'!W39)</f>
        <v>水環境計画</v>
      </c>
      <c r="C37" s="279">
        <f>'入力不可1'!Y39</f>
        <v>0</v>
      </c>
      <c r="D37" s="243" t="s">
        <v>10</v>
      </c>
      <c r="E37" s="26" t="s">
        <v>290</v>
      </c>
      <c r="F37" s="23" t="s">
        <v>292</v>
      </c>
      <c r="G37" s="23" t="s">
        <v>440</v>
      </c>
      <c r="H37" s="27" t="s">
        <v>442</v>
      </c>
      <c r="I37" s="368" t="s">
        <v>470</v>
      </c>
      <c r="J37" s="32" t="s">
        <v>3</v>
      </c>
      <c r="K37" s="366" t="s">
        <v>471</v>
      </c>
      <c r="L37" s="366" t="s">
        <v>472</v>
      </c>
      <c r="M37" s="366" t="s">
        <v>473</v>
      </c>
      <c r="N37" s="366" t="s">
        <v>474</v>
      </c>
    </row>
    <row r="38" spans="1:14" ht="15" customHeight="1" thickBot="1">
      <c r="A38" s="7" t="str">
        <f>CONCATENATE('入力不可1'!V40)</f>
        <v>○</v>
      </c>
      <c r="B38" s="7" t="str">
        <f>CONCATENATE('入力不可1'!W40)</f>
        <v>鋼構造の設計</v>
      </c>
      <c r="C38" s="279">
        <f>'入力不可1'!Y40</f>
        <v>0</v>
      </c>
      <c r="D38" s="244"/>
      <c r="E38" s="20">
        <f>IF(C10&gt;59,1,0)*E36</f>
        <v>0</v>
      </c>
      <c r="F38" s="21">
        <f>IF(C26&gt;59,1,0)*F36</f>
        <v>0</v>
      </c>
      <c r="G38" s="21">
        <f>IF(C55&gt;59,1,0)*G36</f>
        <v>0</v>
      </c>
      <c r="H38" s="22">
        <f>IF(C11&gt;59,1,0)*H36</f>
        <v>0</v>
      </c>
      <c r="I38" s="20">
        <f>IF(C6&gt;59,1,0)*I36</f>
        <v>0</v>
      </c>
      <c r="J38" s="369">
        <f>IF(C7&gt;59,1,0)*J36</f>
        <v>0</v>
      </c>
      <c r="K38" s="366">
        <f>IF(C80&gt;59,1,0)*K36</f>
        <v>0</v>
      </c>
      <c r="L38" s="366">
        <f>IF(C81&gt;59,1,0)*L36</f>
        <v>0</v>
      </c>
      <c r="M38" s="366">
        <f>IF(C82&gt;59,1,0)*M36</f>
        <v>0</v>
      </c>
      <c r="N38" s="366">
        <f>IF(C83&gt;59,1,0)*N36</f>
        <v>0</v>
      </c>
    </row>
    <row r="39" spans="1:13" ht="15" customHeight="1">
      <c r="A39" s="7">
        <f>CONCATENATE('入力不可1'!V41)</f>
      </c>
      <c r="B39" s="7" t="str">
        <f>CONCATENATE('入力不可1'!W41)</f>
        <v>公共経済学</v>
      </c>
      <c r="C39" s="279">
        <f>'入力不可1'!Y41</f>
        <v>0</v>
      </c>
      <c r="H39" s="118" t="s">
        <v>274</v>
      </c>
      <c r="M39" s="118" t="s">
        <v>274</v>
      </c>
    </row>
    <row r="40" spans="1:13" ht="15" customHeight="1">
      <c r="A40" s="7">
        <f>CONCATENATE('入力不可1'!V42)</f>
      </c>
      <c r="B40" s="7" t="str">
        <f>CONCATENATE('入力不可1'!W42)</f>
        <v>土木・環境工学ｺﾛｷｳﾑ</v>
      </c>
      <c r="C40" s="279">
        <f>'入力不可1'!Y42</f>
        <v>0</v>
      </c>
      <c r="H40" s="118">
        <f>SUM(E38:H38)</f>
        <v>0</v>
      </c>
      <c r="M40" s="7">
        <f>SUM(K38:M38)</f>
        <v>0</v>
      </c>
    </row>
    <row r="41" spans="1:3" ht="15" customHeight="1">
      <c r="A41" s="7">
        <f>CONCATENATE('入力不可1'!V43)</f>
      </c>
      <c r="B41" s="7" t="str">
        <f>CONCATENATE('入力不可1'!W43)</f>
        <v>環境ジレンマ論</v>
      </c>
      <c r="C41" s="279">
        <f>'入力不可1'!Y43</f>
        <v>0</v>
      </c>
    </row>
    <row r="42" spans="1:3" ht="15" customHeight="1">
      <c r="A42" s="7">
        <f>CONCATENATE('入力不可1'!V44)</f>
      </c>
      <c r="B42" s="7" t="str">
        <f>CONCATENATE('入力不可1'!W44)</f>
        <v>ﾌｨｰﾙﾄﾞﾜｰｸ</v>
      </c>
      <c r="C42" s="279">
        <f>'入力不可1'!Y44</f>
        <v>0</v>
      </c>
    </row>
    <row r="43" spans="1:3" ht="15" customHeight="1">
      <c r="A43" s="7">
        <f>CONCATENATE('入力不可1'!V45)</f>
      </c>
      <c r="B43" s="7" t="str">
        <f>CONCATENATE('入力不可1'!W45)</f>
        <v>Civil Engineering English 2</v>
      </c>
      <c r="C43" s="279">
        <f>'入力不可1'!Y45</f>
        <v>0</v>
      </c>
    </row>
    <row r="44" spans="1:3" ht="15" customHeight="1">
      <c r="A44" s="7" t="str">
        <f>CONCATENATE('入力不可1'!V46)</f>
        <v>◎</v>
      </c>
      <c r="B44" s="7" t="str">
        <f>CONCATENATE('入力不可1'!W46)</f>
        <v>コンクリート工学実験</v>
      </c>
      <c r="C44" s="279">
        <f>'入力不可1'!Y46</f>
        <v>0</v>
      </c>
    </row>
    <row r="45" spans="1:3" ht="15" customHeight="1">
      <c r="A45" s="7" t="str">
        <f>CONCATENATE('入力不可1'!V47)</f>
        <v>◎</v>
      </c>
      <c r="B45" s="7" t="str">
        <f>CONCATENATE('入力不可1'!W47)</f>
        <v>地盤工学実験</v>
      </c>
      <c r="C45" s="279">
        <f>'入力不可1'!Y47</f>
        <v>0</v>
      </c>
    </row>
    <row r="46" spans="1:3" ht="15" customHeight="1">
      <c r="A46" s="7">
        <f>CONCATENATE('入力不可1'!V48)</f>
      </c>
      <c r="B46" s="7">
        <f>CONCATENATE('入力不可1'!W48)</f>
      </c>
      <c r="C46" s="279">
        <f>'入力不可1'!Y48</f>
        <v>0</v>
      </c>
    </row>
    <row r="47" spans="1:3" ht="15" customHeight="1">
      <c r="A47" s="7">
        <f>CONCATENATE('入力不可1'!V49)</f>
      </c>
      <c r="B47" s="7">
        <f>CONCATENATE('入力不可1'!W49)</f>
      </c>
      <c r="C47" s="279">
        <f>'入力不可1'!Y49</f>
        <v>0</v>
      </c>
    </row>
    <row r="48" spans="1:3" ht="15" customHeight="1">
      <c r="A48" s="7">
        <f>CONCATENATE('入力不可1'!V50)</f>
      </c>
      <c r="B48" s="7">
        <f>CONCATENATE('入力不可1'!W50)</f>
      </c>
      <c r="C48" s="279">
        <f>'入力不可1'!Y50</f>
        <v>0</v>
      </c>
    </row>
    <row r="49" spans="1:3" ht="15" customHeight="1">
      <c r="A49" s="7">
        <f>CONCATENATE('入力不可1'!V51)</f>
      </c>
      <c r="B49" s="7">
        <f>CONCATENATE('入力不可1'!W51)</f>
      </c>
      <c r="C49" s="279">
        <f>'入力不可1'!Y51</f>
        <v>0</v>
      </c>
    </row>
    <row r="50" spans="1:3" ht="15" customHeight="1">
      <c r="A50" s="7">
        <f>CONCATENATE('入力不可1'!V52)</f>
      </c>
      <c r="B50" s="7">
        <f>CONCATENATE('入力不可1'!W52)</f>
      </c>
      <c r="C50" s="279">
        <f>'入力不可1'!Y52</f>
        <v>0</v>
      </c>
    </row>
    <row r="51" spans="1:3" ht="15" customHeight="1">
      <c r="A51" s="7">
        <f>CONCATENATE('入力不可1'!V53)</f>
      </c>
      <c r="B51" s="7">
        <f>CONCATENATE('入力不可1'!W53)</f>
      </c>
      <c r="C51" s="279">
        <f>'入力不可1'!Y53</f>
        <v>0</v>
      </c>
    </row>
    <row r="52" spans="1:3" ht="15" customHeight="1">
      <c r="A52" s="7" t="str">
        <f>CONCATENATE('入力不可1'!V54)</f>
        <v>◎</v>
      </c>
      <c r="B52" s="7" t="str">
        <f>CONCATENATE('入力不可1'!W54)</f>
        <v>土木史・土木技術者倫理</v>
      </c>
      <c r="C52" s="279">
        <f>'入力不可1'!Y54</f>
        <v>0</v>
      </c>
    </row>
    <row r="53" spans="1:3" ht="15" customHeight="1">
      <c r="A53" s="7">
        <f>CONCATENATE('入力不可1'!V55)</f>
      </c>
      <c r="B53" s="7" t="str">
        <f>CONCATENATE('入力不可1'!W55)</f>
        <v>地震工学</v>
      </c>
      <c r="C53" s="279">
        <f>'入力不可1'!Y55</f>
        <v>0</v>
      </c>
    </row>
    <row r="54" spans="1:3" ht="15" customHeight="1">
      <c r="A54" s="7">
        <f>CONCATENATE('入力不可1'!V56)</f>
      </c>
      <c r="B54" s="7" t="str">
        <f>CONCATENATE('入力不可1'!W56)</f>
        <v>水文・河川工学</v>
      </c>
      <c r="C54" s="279">
        <f>'入力不可1'!Y56</f>
        <v>0</v>
      </c>
    </row>
    <row r="55" spans="1:3" ht="15" customHeight="1">
      <c r="A55" s="7" t="str">
        <f>CONCATENATE('入力不可1'!V57)</f>
        <v>○</v>
      </c>
      <c r="B55" s="7" t="str">
        <f>CONCATENATE('入力不可1'!W57)</f>
        <v>応用数値解析・演習</v>
      </c>
      <c r="C55" s="279">
        <f>'入力不可1'!Y57</f>
        <v>0</v>
      </c>
    </row>
    <row r="56" spans="1:3" ht="15" customHeight="1">
      <c r="A56" s="7">
        <f>CONCATENATE('入力不可1'!V58)</f>
      </c>
      <c r="B56" s="7" t="str">
        <f>CONCATENATE('入力不可1'!W58)</f>
        <v>環境アセスメント論</v>
      </c>
      <c r="C56" s="279">
        <f>'入力不可1'!Y58</f>
        <v>0</v>
      </c>
    </row>
    <row r="57" spans="1:3" ht="15" customHeight="1">
      <c r="A57" s="7">
        <f>CONCATENATE('入力不可1'!V59)</f>
      </c>
      <c r="B57" s="7" t="str">
        <f>CONCATENATE('入力不可1'!W59)</f>
        <v>地盤調査・施工学</v>
      </c>
      <c r="C57" s="279">
        <f>'入力不可1'!Y59</f>
        <v>0</v>
      </c>
    </row>
    <row r="58" spans="1:3" ht="15" customHeight="1">
      <c r="A58" s="7">
        <f>CONCATENATE('入力不可1'!V60)</f>
      </c>
      <c r="B58" s="7">
        <f>CONCATENATE('入力不可1'!W60)</f>
      </c>
      <c r="C58" s="279">
        <f>'入力不可1'!Y60</f>
        <v>0</v>
      </c>
    </row>
    <row r="59" spans="1:3" ht="15" customHeight="1">
      <c r="A59" s="7">
        <f>CONCATENATE('入力不可1'!V61)</f>
      </c>
      <c r="B59" s="7" t="str">
        <f>CONCATENATE('入力不可1'!W61)</f>
        <v>都市計画学</v>
      </c>
      <c r="C59" s="279">
        <f>'入力不可1'!Y61</f>
        <v>0</v>
      </c>
    </row>
    <row r="60" spans="1:3" ht="15" customHeight="1">
      <c r="A60" s="7">
        <f>CONCATENATE('入力不可1'!V62)</f>
      </c>
      <c r="B60" s="7" t="str">
        <f>CONCATENATE('入力不可1'!W62)</f>
        <v>海岸・海洋工学</v>
      </c>
      <c r="C60" s="279">
        <f>'入力不可1'!Y62</f>
        <v>0</v>
      </c>
    </row>
    <row r="61" spans="1:3" ht="15" customHeight="1">
      <c r="A61" s="7">
        <f>CONCATENATE('入力不可1'!V63)</f>
      </c>
      <c r="B61" s="7">
        <f>CONCATENATE('入力不可1'!W63)</f>
      </c>
      <c r="C61" s="279">
        <f>'入力不可1'!Y63</f>
        <v>0</v>
      </c>
    </row>
    <row r="62" spans="1:3" ht="15" customHeight="1">
      <c r="A62" s="7">
        <f>CONCATENATE('入力不可1'!V64)</f>
      </c>
      <c r="B62" s="7">
        <f>CONCATENATE('入力不可1'!W64)</f>
      </c>
      <c r="C62" s="279">
        <f>'入力不可1'!Y64</f>
        <v>0</v>
      </c>
    </row>
    <row r="63" spans="1:3" ht="15" customHeight="1">
      <c r="A63" s="7">
        <f>CONCATENATE('入力不可1'!V65)</f>
      </c>
      <c r="B63" s="7">
        <f>CONCATENATE('入力不可1'!W65)</f>
      </c>
      <c r="C63" s="279">
        <f>'入力不可1'!Y65</f>
        <v>0</v>
      </c>
    </row>
    <row r="64" spans="1:3" ht="15" customHeight="1">
      <c r="A64" s="7">
        <f>CONCATENATE('入力不可1'!V66)</f>
      </c>
      <c r="B64" s="7" t="str">
        <f>CONCATENATE('入力不可1'!W66)</f>
        <v>学士論文研究a(早期卒業用)</v>
      </c>
      <c r="C64" s="279">
        <f>'入力不可1'!Y66</f>
        <v>0</v>
      </c>
    </row>
    <row r="65" spans="1:3" ht="15" customHeight="1">
      <c r="A65" s="7">
        <f>CONCATENATE('入力不可1'!V67)</f>
      </c>
      <c r="B65" s="7" t="str">
        <f>CONCATENATE('入力不可1'!W67)</f>
        <v>学士論文研究b(早期卒業用)</v>
      </c>
      <c r="C65" s="279">
        <f>'入力不可1'!Y67</f>
        <v>0</v>
      </c>
    </row>
    <row r="66" spans="1:3" ht="15" customHeight="1">
      <c r="A66" s="7" t="str">
        <f>CONCATENATE('入力不可1'!V68)</f>
        <v>○</v>
      </c>
      <c r="B66" s="7" t="str">
        <f>CONCATENATE('入力不可1'!W68)</f>
        <v>科学技術者実践英語</v>
      </c>
      <c r="C66" s="279">
        <f>'入力不可1'!Y68</f>
        <v>0</v>
      </c>
    </row>
    <row r="67" spans="1:3" ht="15" customHeight="1">
      <c r="A67" s="7" t="str">
        <f>CONCATENATE('入力不可1'!V69)</f>
        <v>◎</v>
      </c>
      <c r="B67" s="7" t="str">
        <f>CONCATENATE('入力不可1'!W69)</f>
        <v>構造力学実験</v>
      </c>
      <c r="C67" s="279">
        <f>'入力不可1'!Y69</f>
        <v>0</v>
      </c>
    </row>
    <row r="68" spans="1:3" ht="15" customHeight="1">
      <c r="A68" s="7" t="str">
        <f>CONCATENATE('入力不可1'!V70)</f>
        <v>◎</v>
      </c>
      <c r="B68" s="7" t="str">
        <f>CONCATENATE('入力不可1'!W70)</f>
        <v>水理学実験</v>
      </c>
      <c r="C68" s="279">
        <f>'入力不可1'!Y70</f>
        <v>0</v>
      </c>
    </row>
    <row r="69" spans="1:3" ht="15" customHeight="1">
      <c r="A69" s="7">
        <f>CONCATENATE('入力不可1'!V71)</f>
      </c>
      <c r="B69" s="7">
        <f>CONCATENATE('入力不可1'!W71)</f>
      </c>
      <c r="C69" s="279">
        <f>'入力不可1'!Y71</f>
        <v>0</v>
      </c>
    </row>
    <row r="70" spans="1:3" ht="15" customHeight="1">
      <c r="A70" s="7">
        <f>CONCATENATE('入力不可1'!V73)</f>
      </c>
      <c r="B70" s="7">
        <f>CONCATENATE('入力不可1'!W73)</f>
      </c>
      <c r="C70" s="279">
        <f>'入力不可1'!Y73</f>
        <v>0</v>
      </c>
    </row>
    <row r="71" spans="1:3" ht="15" customHeight="1">
      <c r="A71" s="7">
        <f>CONCATENATE('入力不可1'!V74)</f>
      </c>
      <c r="B71" s="7" t="str">
        <f>CONCATENATE('入力不可1'!W74)</f>
        <v>国土計画特別講義</v>
      </c>
      <c r="C71" s="279">
        <f>'入力不可1'!Y74</f>
        <v>0</v>
      </c>
    </row>
    <row r="72" spans="1:3" ht="15" customHeight="1">
      <c r="A72" s="7" t="str">
        <f>CONCATENATE('入力不可1'!V75)</f>
        <v>◎</v>
      </c>
      <c r="B72" s="7" t="str">
        <f>CONCATENATE('入力不可1'!W75)</f>
        <v>土木・環境工学特別演習</v>
      </c>
      <c r="C72" s="279">
        <f>'入力不可1'!Y75</f>
        <v>0</v>
      </c>
    </row>
    <row r="73" spans="1:3" ht="15" customHeight="1">
      <c r="A73" s="7">
        <f>CONCATENATE('入力不可1'!V76)</f>
      </c>
      <c r="B73" s="7" t="str">
        <f>CONCATENATE('入力不可1'!W76)</f>
        <v>学士論文研究b(早期卒業用)</v>
      </c>
      <c r="C73" s="279">
        <f>'入力不可1'!Y76</f>
        <v>0</v>
      </c>
    </row>
    <row r="74" spans="1:3" ht="15" customHeight="1">
      <c r="A74" s="7">
        <f>CONCATENATE('入力不可1'!V77)</f>
      </c>
      <c r="B74" s="7" t="str">
        <f>CONCATENATE('入力不可1'!W77)</f>
        <v>学士論文研究c</v>
      </c>
      <c r="C74" s="279">
        <f>'入力不可1'!Y77</f>
        <v>0</v>
      </c>
    </row>
    <row r="75" spans="1:3" ht="15" customHeight="1">
      <c r="A75" s="7">
        <f>CONCATENATE('入力不可1'!V78)</f>
      </c>
      <c r="B75" s="7">
        <f>CONCATENATE('入力不可1'!W78)</f>
      </c>
      <c r="C75" s="279">
        <f>'入力不可1'!Y78</f>
        <v>0</v>
      </c>
    </row>
    <row r="76" spans="1:3" ht="15" customHeight="1">
      <c r="A76" s="7">
        <f>CONCATENATE('入力不可1'!V79)</f>
      </c>
      <c r="B76" s="7">
        <f>CONCATENATE('入力不可1'!W79)</f>
      </c>
      <c r="C76" s="279">
        <f>'入力不可1'!Y79</f>
        <v>0</v>
      </c>
    </row>
    <row r="77" spans="1:3" ht="15" customHeight="1">
      <c r="A77" s="7">
        <f>CONCATENATE('入力不可1'!V80)</f>
      </c>
      <c r="B77" s="7" t="str">
        <f>CONCATENATE('入力不可1'!W80)</f>
        <v>学士論文研究c</v>
      </c>
      <c r="C77" s="279">
        <f>'入力不可1'!Y80</f>
        <v>0</v>
      </c>
    </row>
    <row r="80" spans="2:3" ht="15" customHeight="1">
      <c r="B80" s="7" t="str">
        <f>CONCATENATE('入力不可1'!L50)</f>
        <v>生命の科学と社会</v>
      </c>
      <c r="C80" s="362">
        <f>'入力不可1'!N50</f>
        <v>0</v>
      </c>
    </row>
    <row r="81" spans="2:3" ht="15" customHeight="1">
      <c r="B81" s="7" t="str">
        <f>CONCATENATE('入力不可1'!L52)</f>
        <v>原子核とエネルギー</v>
      </c>
      <c r="C81" s="362">
        <f>'入力不可1'!N52</f>
        <v>0</v>
      </c>
    </row>
    <row r="82" spans="2:3" ht="15" customHeight="1">
      <c r="B82" s="7" t="str">
        <f>CONCATENATE('入力不可1'!L53)</f>
        <v>物理と論理</v>
      </c>
      <c r="C82" s="362">
        <f>'入力不可1'!N53</f>
        <v>0</v>
      </c>
    </row>
    <row r="83" spans="2:3" ht="15" customHeight="1">
      <c r="B83" s="7" t="str">
        <f>CONCATENATE('入力不可1'!AH20)</f>
        <v>ｺﾝﾋﾟｭｰﾀﾘﾃﾗｼ</v>
      </c>
      <c r="C83" s="362">
        <f>'入力不可1'!AJ20</f>
        <v>0</v>
      </c>
    </row>
  </sheetData>
  <sheetProtection sheet="1" objects="1" scenarios="1" selectLockedCells="1" selectUnlockedCells="1"/>
  <mergeCells count="8">
    <mergeCell ref="K15:M15"/>
    <mergeCell ref="F20:H20"/>
    <mergeCell ref="D20:E20"/>
    <mergeCell ref="E35:H35"/>
    <mergeCell ref="D15:G15"/>
    <mergeCell ref="H15:J15"/>
    <mergeCell ref="I20:K20"/>
    <mergeCell ref="K35:M35"/>
  </mergeCells>
  <conditionalFormatting sqref="M18 G18 J18 E23 H23 K23">
    <cfRule type="cellIs" priority="1" dxfId="0" operator="equal" stopIfTrue="1">
      <formula>"×"</formula>
    </cfRule>
  </conditionalFormatting>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Tokyo Tech Civil JABEE</dc:creator>
  <cp:keywords/>
  <dc:description/>
  <cp:lastModifiedBy>Sohichi Hirose</cp:lastModifiedBy>
  <cp:lastPrinted>2005-12-08T07:16:49Z</cp:lastPrinted>
  <dcterms:created xsi:type="dcterms:W3CDTF">2003-12-19T01:15:28Z</dcterms:created>
  <dcterms:modified xsi:type="dcterms:W3CDTF">2009-11-06T03:20:56Z</dcterms:modified>
  <cp:category/>
  <cp:version/>
  <cp:contentType/>
  <cp:contentStatus/>
</cp:coreProperties>
</file>